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Toelichting" sheetId="6" r:id="rId1"/>
    <sheet name="Basiskentallen" sheetId="1" r:id="rId2"/>
    <sheet name="Parkeeraantallen" sheetId="3" r:id="rId3"/>
    <sheet name="Hulptabel" sheetId="4" r:id="rId4"/>
    <sheet name="Basisbegroting" sheetId="2" r:id="rId5"/>
    <sheet name="Kosten&amp;baten per locatie" sheetId="5" r:id="rId6"/>
  </sheets>
  <definedNames>
    <definedName name="Aantal_fietsen_2ekeer">Basisbegroting!#REF!</definedName>
    <definedName name="Aantal_weesfietsen">Basisbegroting!$D$18</definedName>
    <definedName name="Aantal_weesfietsen_2ekeer">Basisbegroting!$J$18</definedName>
    <definedName name="_xlnm.Print_Area" localSheetId="4">Basisbegroting!$A$1:$J$38</definedName>
    <definedName name="_xlnm.Print_Area" localSheetId="1">Basiskentallen!$A$1:$L$53</definedName>
    <definedName name="_xlnm.Print_Area" localSheetId="5">'Kosten&amp;baten per locatie'!$A$1:$F$20</definedName>
    <definedName name="_xlnm.Print_Area" localSheetId="2">Parkeeraantallen!$A$1:$M$26</definedName>
    <definedName name="afhaalprijs_fiets">'Kosten&amp;baten per locatie'!#REF!</definedName>
    <definedName name="dagenperfout">Parkeeraantallen!$F$57</definedName>
    <definedName name="dagenperwees">Parkeeraantallen!$E$57</definedName>
    <definedName name="minuuttoezichtfiets">Hulptabel!$H$8</definedName>
    <definedName name="munuutperlabel">Hulptabel!#REF!</definedName>
    <definedName name="oudijzerprijs">'Kosten&amp;baten per locatie'!#REF!</definedName>
    <definedName name="percfout">Parkeeraantallen!#REF!</definedName>
    <definedName name="percwees">Parkeeraantallen!#REF!</definedName>
    <definedName name="prijs_beschikking">Basisbegroting!$F$29</definedName>
    <definedName name="prijs_label">Basisbegroting!$F$27</definedName>
    <definedName name="tieraptijd">Hulptabel!$H$5</definedName>
    <definedName name="toezverwijderenfout">Hulptabel!$H$13</definedName>
    <definedName name="Totaal_aantal_fietsen">Basisbegroting!#REF!</definedName>
    <definedName name="Uren_labelen">Basisbegroting!$J$19</definedName>
    <definedName name="Uren_registratie">Basisbegroting!$J$22</definedName>
    <definedName name="Uren_verwijderen">Basisbegroting!$J$21</definedName>
    <definedName name="Uurloon_depotbeheer">Basisbegroting!$F$37</definedName>
    <definedName name="Uurloon_labelen">Basisbegroting!$F$30</definedName>
    <definedName name="Uurloon_verwijderen">Basisbegroting!#REF!</definedName>
    <definedName name="verkoopprijs_fiets">'Kosten&amp;baten per locatie'!#REF!</definedName>
    <definedName name="Vervoerkosten">Basisbegroting!$F$33</definedName>
    <definedName name="werkdagenjaar">Hulptabel!$H$14</definedName>
  </definedNames>
  <calcPr calcId="145621" concurrentCalc="0"/>
</workbook>
</file>

<file path=xl/calcChain.xml><?xml version="1.0" encoding="utf-8"?>
<calcChain xmlns="http://schemas.openxmlformats.org/spreadsheetml/2006/main">
  <c r="E35" i="2" l="1"/>
  <c r="E33" i="2"/>
  <c r="H14" i="3"/>
  <c r="D14" i="3"/>
  <c r="I14" i="3"/>
  <c r="E14" i="3"/>
  <c r="J14" i="3"/>
  <c r="H15" i="3"/>
  <c r="D15" i="3"/>
  <c r="I15" i="3"/>
  <c r="E15" i="3"/>
  <c r="J15" i="3"/>
  <c r="H16" i="3"/>
  <c r="D16" i="3"/>
  <c r="I16" i="3"/>
  <c r="E16" i="3"/>
  <c r="J16" i="3"/>
  <c r="H4" i="3"/>
  <c r="H5" i="3"/>
  <c r="H6" i="3"/>
  <c r="H7" i="3"/>
  <c r="H8" i="3"/>
  <c r="H9" i="3"/>
  <c r="H10" i="3"/>
  <c r="H11" i="3"/>
  <c r="H12" i="3"/>
  <c r="H13" i="3"/>
  <c r="H18" i="3"/>
  <c r="D4" i="2"/>
  <c r="I4" i="2"/>
  <c r="J4" i="2"/>
  <c r="D4" i="3"/>
  <c r="I4" i="3"/>
  <c r="D5" i="3"/>
  <c r="I5" i="3"/>
  <c r="D6" i="3"/>
  <c r="I6" i="3"/>
  <c r="D7" i="3"/>
  <c r="I7" i="3"/>
  <c r="D8" i="3"/>
  <c r="I8" i="3"/>
  <c r="D9" i="3"/>
  <c r="I9" i="3"/>
  <c r="D10" i="3"/>
  <c r="I10" i="3"/>
  <c r="D11" i="3"/>
  <c r="I11" i="3"/>
  <c r="D12" i="3"/>
  <c r="I12" i="3"/>
  <c r="D13" i="3"/>
  <c r="I13" i="3"/>
  <c r="I18" i="3"/>
  <c r="E4" i="3"/>
  <c r="J4" i="3"/>
  <c r="E5" i="3"/>
  <c r="J5" i="3"/>
  <c r="E6" i="3"/>
  <c r="J6" i="3"/>
  <c r="E7" i="3"/>
  <c r="J7" i="3"/>
  <c r="E8" i="3"/>
  <c r="J8" i="3"/>
  <c r="E9" i="3"/>
  <c r="J9" i="3"/>
  <c r="E10" i="3"/>
  <c r="J10" i="3"/>
  <c r="E11" i="3"/>
  <c r="J11" i="3"/>
  <c r="E12" i="3"/>
  <c r="J12" i="3"/>
  <c r="E13" i="3"/>
  <c r="J13" i="3"/>
  <c r="J18" i="3"/>
  <c r="D5" i="2"/>
  <c r="I5" i="2"/>
  <c r="J5" i="2"/>
  <c r="C6" i="4"/>
  <c r="B6" i="4"/>
  <c r="D6" i="4"/>
  <c r="E6" i="4"/>
  <c r="F6" i="4"/>
  <c r="G6" i="4"/>
  <c r="C11" i="4"/>
  <c r="B10" i="4"/>
  <c r="B11" i="4"/>
  <c r="D11" i="4"/>
  <c r="E11" i="4"/>
  <c r="F11" i="4"/>
  <c r="G11" i="4"/>
  <c r="G21" i="4"/>
  <c r="D6" i="2"/>
  <c r="I6" i="2"/>
  <c r="J6" i="2"/>
  <c r="C5" i="4"/>
  <c r="B5" i="4"/>
  <c r="D5" i="4"/>
  <c r="E5" i="4"/>
  <c r="F5" i="4"/>
  <c r="G5" i="4"/>
  <c r="G7" i="4"/>
  <c r="G12" i="4"/>
  <c r="G15" i="4"/>
  <c r="G18" i="4"/>
  <c r="G22" i="4"/>
  <c r="D7" i="2"/>
  <c r="I7" i="2"/>
  <c r="J7" i="2"/>
  <c r="G23" i="4"/>
  <c r="D8" i="2"/>
  <c r="I8" i="2"/>
  <c r="J8" i="2"/>
  <c r="C29" i="4"/>
  <c r="B29" i="4"/>
  <c r="D29" i="4"/>
  <c r="E29" i="4"/>
  <c r="F29" i="4"/>
  <c r="G29" i="4"/>
  <c r="D11" i="2"/>
  <c r="I11" i="2"/>
  <c r="J11" i="2"/>
  <c r="G30" i="4"/>
  <c r="D12" i="2"/>
  <c r="I12" i="2"/>
  <c r="J12" i="2"/>
  <c r="C37" i="4"/>
  <c r="B37" i="4"/>
  <c r="D37" i="4"/>
  <c r="E37" i="4"/>
  <c r="F37" i="4"/>
  <c r="G37" i="4"/>
  <c r="D16" i="2"/>
  <c r="I16" i="2"/>
  <c r="J16" i="2"/>
  <c r="G38" i="4"/>
  <c r="D17" i="2"/>
  <c r="I17" i="2"/>
  <c r="J17" i="2"/>
  <c r="J24" i="2"/>
  <c r="K4" i="3"/>
  <c r="K18" i="3"/>
  <c r="L4" i="3"/>
  <c r="C4" i="5"/>
  <c r="D27" i="2"/>
  <c r="I27" i="2"/>
  <c r="J27" i="2"/>
  <c r="D28" i="2"/>
  <c r="I28" i="2"/>
  <c r="J28" i="2"/>
  <c r="D29" i="2"/>
  <c r="I29" i="2"/>
  <c r="J29" i="2"/>
  <c r="D30" i="2"/>
  <c r="I30" i="2"/>
  <c r="J30" i="2"/>
  <c r="J31" i="2"/>
  <c r="D4" i="5"/>
  <c r="E4" i="5"/>
  <c r="K5" i="3"/>
  <c r="L5" i="3"/>
  <c r="C5" i="5"/>
  <c r="D5" i="5"/>
  <c r="E5" i="5"/>
  <c r="K6" i="3"/>
  <c r="L6" i="3"/>
  <c r="C6" i="5"/>
  <c r="D6" i="5"/>
  <c r="E6" i="5"/>
  <c r="K7" i="3"/>
  <c r="L7" i="3"/>
  <c r="C7" i="5"/>
  <c r="D7" i="5"/>
  <c r="E7" i="5"/>
  <c r="K8" i="3"/>
  <c r="L8" i="3"/>
  <c r="C8" i="5"/>
  <c r="D8" i="5"/>
  <c r="E8" i="5"/>
  <c r="K9" i="3"/>
  <c r="L9" i="3"/>
  <c r="C9" i="5"/>
  <c r="D9" i="5"/>
  <c r="E9" i="5"/>
  <c r="K10" i="3"/>
  <c r="L10" i="3"/>
  <c r="C10" i="5"/>
  <c r="D10" i="5"/>
  <c r="E10" i="5"/>
  <c r="K11" i="3"/>
  <c r="L11" i="3"/>
  <c r="C11" i="5"/>
  <c r="D11" i="5"/>
  <c r="E11" i="5"/>
  <c r="K12" i="3"/>
  <c r="L12" i="3"/>
  <c r="C12" i="5"/>
  <c r="D12" i="5"/>
  <c r="E12" i="5"/>
  <c r="K13" i="3"/>
  <c r="L13" i="3"/>
  <c r="C13" i="5"/>
  <c r="D13" i="5"/>
  <c r="E13" i="5"/>
  <c r="K14" i="3"/>
  <c r="L14" i="3"/>
  <c r="C14" i="5"/>
  <c r="D14" i="5"/>
  <c r="E14" i="5"/>
  <c r="K15" i="3"/>
  <c r="L15" i="3"/>
  <c r="C15" i="5"/>
  <c r="D15" i="5"/>
  <c r="E15" i="5"/>
  <c r="K16" i="3"/>
  <c r="L16" i="3"/>
  <c r="C16" i="5"/>
  <c r="D16" i="5"/>
  <c r="E16" i="5"/>
  <c r="C17" i="5"/>
  <c r="D17" i="5"/>
  <c r="E17" i="5"/>
  <c r="E18" i="5"/>
  <c r="D18" i="3"/>
  <c r="M4" i="3"/>
  <c r="D33" i="2"/>
  <c r="G33" i="2"/>
  <c r="D35" i="2"/>
  <c r="G35" i="2"/>
  <c r="G36" i="2"/>
  <c r="F4" i="5"/>
  <c r="B18" i="3"/>
  <c r="D21" i="2"/>
  <c r="G21" i="2"/>
  <c r="G24" i="2"/>
  <c r="B4" i="5"/>
  <c r="B5" i="5"/>
  <c r="B6" i="5"/>
  <c r="B7" i="5"/>
  <c r="B8" i="5"/>
  <c r="B9" i="5"/>
  <c r="B10" i="5"/>
  <c r="B11" i="5"/>
  <c r="B12" i="5"/>
  <c r="B13" i="5"/>
  <c r="B14" i="5"/>
  <c r="B15" i="5"/>
  <c r="B16" i="5"/>
  <c r="B17" i="5"/>
  <c r="B18" i="5"/>
  <c r="M5" i="3"/>
  <c r="F5" i="5"/>
  <c r="M6" i="3"/>
  <c r="F6" i="5"/>
  <c r="M7" i="3"/>
  <c r="F7" i="5"/>
  <c r="M8" i="3"/>
  <c r="F8" i="5"/>
  <c r="M9" i="3"/>
  <c r="F9" i="5"/>
  <c r="M10" i="3"/>
  <c r="F10" i="5"/>
  <c r="M11" i="3"/>
  <c r="F11" i="5"/>
  <c r="M12" i="3"/>
  <c r="F12" i="5"/>
  <c r="M13" i="3"/>
  <c r="F13" i="5"/>
  <c r="M14" i="3"/>
  <c r="F14" i="5"/>
  <c r="M15" i="3"/>
  <c r="F15" i="5"/>
  <c r="M16" i="3"/>
  <c r="F16" i="5"/>
  <c r="F17" i="5"/>
  <c r="F18" i="5"/>
  <c r="E4" i="2"/>
  <c r="E5" i="2"/>
  <c r="E6" i="2"/>
  <c r="E7" i="2"/>
  <c r="E8" i="2"/>
  <c r="E11" i="2"/>
  <c r="E12" i="2"/>
  <c r="H14" i="2"/>
  <c r="J14" i="2"/>
  <c r="H15" i="2"/>
  <c r="J15" i="2"/>
  <c r="E16" i="2"/>
  <c r="E17" i="2"/>
  <c r="H22" i="2"/>
  <c r="J22" i="2"/>
  <c r="C18" i="5"/>
  <c r="C27" i="2"/>
  <c r="E27" i="2"/>
  <c r="C28" i="2"/>
  <c r="E28" i="2"/>
  <c r="C29" i="2"/>
  <c r="E29" i="2"/>
  <c r="E30" i="2"/>
  <c r="D18" i="5"/>
  <c r="A17" i="5"/>
  <c r="A16" i="5"/>
  <c r="A15" i="5"/>
  <c r="A14" i="5"/>
  <c r="A13" i="5"/>
  <c r="A12" i="5"/>
  <c r="A11" i="5"/>
  <c r="A10" i="5"/>
  <c r="A9" i="5"/>
  <c r="A8" i="5"/>
  <c r="A7" i="5"/>
  <c r="A6" i="5"/>
  <c r="A5" i="5"/>
  <c r="A4" i="5"/>
  <c r="D31" i="2"/>
  <c r="M18" i="3"/>
  <c r="G24" i="4"/>
  <c r="D11" i="1"/>
  <c r="L18" i="3"/>
  <c r="G10" i="2"/>
  <c r="E20" i="2"/>
  <c r="G20" i="2"/>
  <c r="E26" i="1"/>
  <c r="E25" i="1"/>
  <c r="E21" i="2"/>
  <c r="G18" i="2"/>
  <c r="G15" i="2"/>
  <c r="G14" i="2"/>
  <c r="E24" i="1"/>
  <c r="F18" i="3"/>
  <c r="G18" i="3"/>
  <c r="C18" i="3"/>
  <c r="D48" i="1"/>
  <c r="E22" i="1"/>
  <c r="E23" i="1"/>
  <c r="E21" i="1"/>
  <c r="H24" i="2"/>
  <c r="E18" i="3"/>
  <c r="G31" i="4"/>
  <c r="G16" i="4"/>
  <c r="I31" i="2"/>
  <c r="I24" i="2"/>
</calcChain>
</file>

<file path=xl/comments1.xml><?xml version="1.0" encoding="utf-8"?>
<comments xmlns="http://schemas.openxmlformats.org/spreadsheetml/2006/main">
  <authors>
    <author>Rolf Schooleman</author>
  </authors>
  <commentList>
    <comment ref="C22" authorId="0">
      <text>
        <r>
          <rPr>
            <sz val="8"/>
            <color indexed="81"/>
            <rFont val="Tahoma"/>
            <family val="2"/>
          </rPr>
          <t>Voer hier de verdeling van jr. toezichthouders over het totaal van jr. toezichthouders en ‘hulptroepen’ in.</t>
        </r>
      </text>
    </comment>
  </commentList>
</comments>
</file>

<file path=xl/sharedStrings.xml><?xml version="1.0" encoding="utf-8"?>
<sst xmlns="http://schemas.openxmlformats.org/spreadsheetml/2006/main" count="287" uniqueCount="204">
  <si>
    <t>Weesfietsen</t>
  </si>
  <si>
    <t>knapkoord of tie-rap aanbrengen</t>
  </si>
  <si>
    <t>Van aantal onbewaakt</t>
  </si>
  <si>
    <t>Toezicht op verwijderen</t>
  </si>
  <si>
    <t>Aantal werkdagen per jaar per fte</t>
  </si>
  <si>
    <t>Personeelskentallen</t>
  </si>
  <si>
    <t>Hulptroepen</t>
  </si>
  <si>
    <t>Schaal</t>
  </si>
  <si>
    <t>Toezichthouder</t>
  </si>
  <si>
    <t>[kosten aanschaf gebouw/terrein]</t>
  </si>
  <si>
    <t>[kosten huur incl. gas, water en elektra]</t>
  </si>
  <si>
    <t>[€ 11.900: aanschafkosten registratiesoftware via het Centrum Fietsdiefstal]</t>
  </si>
  <si>
    <t xml:space="preserve">[€100: maandelijkse beheerkosten software verkregen via het Centrum Fietsdiefstal] </t>
  </si>
  <si>
    <t>[Eenmalig € 6.000 voor knipschaar, grafeerapparatuur etc.]</t>
  </si>
  <si>
    <t>[Eenmalig € 5.000 voor een publiekscampagne]</t>
  </si>
  <si>
    <t>[Eenmalig €500 voor bebording van het beheergebied]</t>
  </si>
  <si>
    <t>Aandeel van aantal onbewaakt</t>
  </si>
  <si>
    <t>€/uur</t>
  </si>
  <si>
    <t>Materiaalkosten</t>
  </si>
  <si>
    <t>Labels</t>
  </si>
  <si>
    <t>Beschikkingen</t>
  </si>
  <si>
    <t>Communicatiekosten</t>
  </si>
  <si>
    <t>Kentallen inkomsten</t>
  </si>
  <si>
    <t>Kosten</t>
  </si>
  <si>
    <t>Kostenposten</t>
  </si>
  <si>
    <t>eenheid</t>
  </si>
  <si>
    <t>Eenmalig</t>
  </si>
  <si>
    <t>Totaal jaarlijkse kosten</t>
  </si>
  <si>
    <t>Labelen</t>
  </si>
  <si>
    <t>per label</t>
  </si>
  <si>
    <t>per beschikking</t>
  </si>
  <si>
    <t>Verwijderen</t>
  </si>
  <si>
    <t>Materiaal voor wegknippen, slijpen</t>
  </si>
  <si>
    <t>aanschaf/huur</t>
  </si>
  <si>
    <t>Registratiesysteem</t>
  </si>
  <si>
    <t>aanschaf/beheer</t>
  </si>
  <si>
    <t>Benodigde materialen Fietsdepot</t>
  </si>
  <si>
    <t>Communicatie</t>
  </si>
  <si>
    <t>PR-campagne weesfietsenaanpak</t>
  </si>
  <si>
    <t>Bebording beheergebied</t>
  </si>
  <si>
    <t>aanschaf</t>
  </si>
  <si>
    <t>Totaal kosten</t>
  </si>
  <si>
    <t>Opbrengsten</t>
  </si>
  <si>
    <t>baten per eenheid</t>
  </si>
  <si>
    <t>per fiets</t>
  </si>
  <si>
    <t xml:space="preserve">Verkoop fietsen </t>
  </si>
  <si>
    <t>na verstrijken opslagtermijn</t>
  </si>
  <si>
    <t>of</t>
  </si>
  <si>
    <t>maaiveld</t>
  </si>
  <si>
    <t>bebouwd</t>
  </si>
  <si>
    <t>Totaal opbrengsten</t>
  </si>
  <si>
    <t>(gemiddeld)</t>
  </si>
  <si>
    <t>Eenmalige kosten voor de opslaglocatie.</t>
  </si>
  <si>
    <t>Aanschafkosten van registratiesoftware.</t>
  </si>
  <si>
    <t>Beheerkosten van registratiesoftware.</t>
  </si>
  <si>
    <t>Kosten voor benodigde materialen Fietsdepot.</t>
  </si>
  <si>
    <t>Aantal uur dat het Fietsdepot per week open/bemensd is.</t>
  </si>
  <si>
    <t>Kosten / fte Toezichthouder</t>
  </si>
  <si>
    <t>Kosten / fte Hulptroepen</t>
  </si>
  <si>
    <t>aantal wees</t>
  </si>
  <si>
    <t>aantal fout</t>
  </si>
  <si>
    <t>freq wees</t>
  </si>
  <si>
    <t>freq fout</t>
  </si>
  <si>
    <t>Capaciteit (onbewaakt)</t>
  </si>
  <si>
    <t>Totaal</t>
  </si>
  <si>
    <t>Beheergebieden</t>
  </si>
  <si>
    <t>Hulptabel benodigde inzet</t>
  </si>
  <si>
    <t>Beschikken</t>
  </si>
  <si>
    <t>Fout gestalde fietsen</t>
  </si>
  <si>
    <t>Aantal</t>
  </si>
  <si>
    <t>Aantal fietsen</t>
  </si>
  <si>
    <t>minuten/fiets</t>
  </si>
  <si>
    <t>minuten per fiets (1 dag voor 1000 fietsen)</t>
  </si>
  <si>
    <t>Beschikkingen uitschrijven</t>
  </si>
  <si>
    <t>Tijd in minuten</t>
  </si>
  <si>
    <t>Tijd in uren</t>
  </si>
  <si>
    <t>Tijd in dagen</t>
  </si>
  <si>
    <t>Tijd in fte/jaar</t>
  </si>
  <si>
    <t>Overhead reistijd</t>
  </si>
  <si>
    <t>Basisbegroting</t>
  </si>
  <si>
    <t xml:space="preserve">Inzet handhaving </t>
  </si>
  <si>
    <t>Inzet verwijderen</t>
  </si>
  <si>
    <t>Kosten / fte Toezichthouder jr</t>
  </si>
  <si>
    <t>Inzet Handhaving</t>
  </si>
  <si>
    <t>Percentage op totale inzet</t>
  </si>
  <si>
    <t>Aantal x freq Wees beschikken en verwijderen</t>
  </si>
  <si>
    <t>Kosten per eenheid</t>
  </si>
  <si>
    <t>Handhavingskosten</t>
  </si>
  <si>
    <t>Handhaven</t>
  </si>
  <si>
    <t>Opslaan</t>
  </si>
  <si>
    <t>Opbrengsten vernietigen fietsen (Oud ijzer prijs)</t>
  </si>
  <si>
    <t>Kosten voor bebording per beheergebied.</t>
  </si>
  <si>
    <t>Aandeel opgehaalde weesfietsen.</t>
  </si>
  <si>
    <t>Aandeel verkoopbare fietsen.</t>
  </si>
  <si>
    <t>Aandeel te vernietigen fietsen.</t>
  </si>
  <si>
    <t>Op te leggen boete.</t>
  </si>
  <si>
    <t>Verkoopprijs per fiets.</t>
  </si>
  <si>
    <t>Oud ijzerprijs per fiets.</t>
  </si>
  <si>
    <t>[€ 15,00 is een gebruikelijke verkoopprijs]</t>
  </si>
  <si>
    <t>[€ 12,50 is een gebruikelijke boete]</t>
  </si>
  <si>
    <t>Totale inzet handhaving</t>
  </si>
  <si>
    <t>Verdeling FTE</t>
  </si>
  <si>
    <t>Toezichthouder Jr.</t>
  </si>
  <si>
    <t>fte</t>
  </si>
  <si>
    <t>Toezichthouder jr.</t>
  </si>
  <si>
    <t>per fte</t>
  </si>
  <si>
    <t>Verwijderen fietsen naar depot</t>
  </si>
  <si>
    <t>Kosten/fte Verwijderingspersoneel</t>
  </si>
  <si>
    <t>Vaste maandlasten</t>
  </si>
  <si>
    <t>Investeringskosten</t>
  </si>
  <si>
    <t>Basiskentallen</t>
  </si>
  <si>
    <t>Verwijderen fietsen</t>
  </si>
  <si>
    <t>Totaal van verwijderde fietsen</t>
  </si>
  <si>
    <t>minuten /fiets</t>
  </si>
  <si>
    <t>Verwijderingspersoneel</t>
  </si>
  <si>
    <t>[prijs per stuk: € 0,10 voor een gedrukt label, €0,01 voor een knapkoortje]</t>
  </si>
  <si>
    <t>[prijs per stuk: € 0,40 per gedrukte beschikking op waterbestendig papier]</t>
  </si>
  <si>
    <t>Besparing investeringskosten nieuwe stallingen</t>
  </si>
  <si>
    <t>Totaal besparingen</t>
  </si>
  <si>
    <t>Opslagcapaciteit/-locatie Fietsdepot</t>
  </si>
  <si>
    <t>Inzet depot</t>
  </si>
  <si>
    <t>minuten per fiets (1 dag voor 50 fietsen)</t>
  </si>
  <si>
    <t>minuten per fiets (1 dag voor 50 fietsen incl. reistijd)</t>
  </si>
  <si>
    <t>Administratie en baliewerk</t>
  </si>
  <si>
    <t>Management en toezicht depot</t>
  </si>
  <si>
    <t>Inzet administratie en baliewerk</t>
  </si>
  <si>
    <t>Administratie en baliewerk fietsen</t>
  </si>
  <si>
    <t>Kosten/fte Management en toezichtpersoneel depot</t>
  </si>
  <si>
    <t>Kosten/fte Administratie en Baliepersoneel depot</t>
  </si>
  <si>
    <t>Beheer gemeentelijke website.</t>
  </si>
  <si>
    <t>Beheer website</t>
  </si>
  <si>
    <t xml:space="preserve">Eenmalige kosten voor materialen verwijderen (wegknippen, slijpen) </t>
  </si>
  <si>
    <t>[eenmalige kosten € 1000]</t>
  </si>
  <si>
    <t>Boete bij ophalen weesfietsen</t>
  </si>
  <si>
    <t>Boete bij ophalen fout geparkeerde fietsen</t>
  </si>
  <si>
    <t>Opbrengsten en besparingen</t>
  </si>
  <si>
    <t>Fout geparkeerd</t>
  </si>
  <si>
    <t>Maandelijkse kosten voor de opslaglocatie</t>
  </si>
  <si>
    <t>Kosten eenmalige PR-campagne.</t>
  </si>
  <si>
    <t xml:space="preserve">[€100: maandelijkse beheerkosten] </t>
  </si>
  <si>
    <t>Aandeel opgehaalde fout gestalde fietsen.</t>
  </si>
  <si>
    <t>[€ 2,70 is een gebruikelijke oud ijzerprijs per fiets]</t>
  </si>
  <si>
    <t>Verwijderen en werkzaamheden Fietsdepot</t>
  </si>
  <si>
    <t>Toezicht bij verwijderen</t>
  </si>
  <si>
    <t>Aantal x freq Fout beschikken en verwijderen</t>
  </si>
  <si>
    <t>Aantal x freq wees labelen</t>
  </si>
  <si>
    <t>Aandeel</t>
  </si>
  <si>
    <t>Opbrengsten per locatie</t>
  </si>
  <si>
    <t>Locatie</t>
  </si>
  <si>
    <t>Inzet management en toezicht</t>
  </si>
  <si>
    <t>100% van weesfietsen met beschikking wordt verwijderd</t>
  </si>
  <si>
    <t>[gemiddeld 6 uur per week is het Fietsdepot open]</t>
  </si>
  <si>
    <t>Gelijk aan inzet handhaving voor beschikken met een maximum van 1 fte</t>
  </si>
  <si>
    <t>Aandeel kosten</t>
  </si>
  <si>
    <t>Aandeel opbrengsten</t>
  </si>
  <si>
    <t xml:space="preserve"> Jaarlijkse kosten per locatie</t>
  </si>
  <si>
    <t>Eenmalige investeringskosten</t>
  </si>
  <si>
    <t>Besparing aanlegkosten stallingen</t>
  </si>
  <si>
    <t>Inleiding</t>
  </si>
  <si>
    <t>In de raming komen zowel kosten als baten van de handhavingsaanpak aan de orde. Onderstaand is een overzicht gegeven van de verschillende onderdelen uit de spreadsheet.</t>
  </si>
  <si>
    <t>Tabblad Basiskentallen</t>
  </si>
  <si>
    <t>In het tabblad Basiskentallen zijn de belangrijkste kostenbepalende factoren opgenomen en is een richtgetal per factor opgenomen. Dit richtgetal kan de gemeente naar eigen inzichten aanpassen.</t>
  </si>
  <si>
    <t>Tabblad Parkeeraantallen</t>
  </si>
  <si>
    <t>In het tabblad Parkeeraantallen kan de gemeente de stallingsplaatsen opnemen die deel uitmaken van het beheergebied. Het aantal fietsen per stallingsplaats moet hierin op basis van tellingen worden opgenomen, evenals de beoogde frequentie voor de handhaving op weesfietsen en fout geparkeerde fietsen. De gevaarlijk geparkeerde fietsen en fietswrakken komen niet expliciet aan de orde. Uitgangspunt is dat de handhavingskosten voor deze fietsen vallen onder de weesfietsen en fout geparkeerde fietsen.</t>
  </si>
  <si>
    <t>Tabblad Hulptabel</t>
  </si>
  <si>
    <t>In het tabblad hulptabel wordt de voor de handhaving benodigde inzet bepaald aan de hand van de gegevens uit het Tabblad Basiskentallen en het Tabblad Parkeeraantallen. De enige aanpassing die de gemeente hierin kan aanbrengen, is de verdeling van jr. toezichthouders over het totaal van jr. toezichthouders en ‘hulptroepen’.</t>
  </si>
  <si>
    <t>Tabblad Basisbegroting</t>
  </si>
  <si>
    <t>Tabblad Kosten &amp; Baten per locatie</t>
  </si>
  <si>
    <t>In het tabblad Kosten en baten per locatie is een uitsplitsing gemaakt van de kosten en baten per handhavingslocatie. Dit is met name relevant indien meerdere gemeenten gaan samenwerken bij de handhavingsaanpak. De kosten per gemeente kunnen met dit tabblad inzichtelijk worden gemaakt.</t>
  </si>
  <si>
    <t>Plaats - locatie/straat/gebied</t>
  </si>
  <si>
    <t>Toelichting</t>
  </si>
  <si>
    <t>Voer het aantal stallingsplekken in</t>
  </si>
  <si>
    <t>#</t>
  </si>
  <si>
    <t>Beheergebied</t>
  </si>
  <si>
    <t>Voer het beheergebied in. Er is plaats voor 13 beheergebieden.</t>
  </si>
  <si>
    <t>Freq. Wees</t>
  </si>
  <si>
    <t>Geef aan hoeveel keer per jaar een weesfietsenactie wordt uitgevoerd.</t>
  </si>
  <si>
    <t>Freq. Fout</t>
  </si>
  <si>
    <t>Geef aan hoeveel keer per jaar op fout gestalde fietsen wordt gehandhaafd.</t>
  </si>
  <si>
    <t>Kolom B telt het aantal beheergebieden bij elkaar op. Daartoe moet achter elke beheergebied het cijfer 1 in Kolom B worden gezet.</t>
  </si>
  <si>
    <t>Het Tabblad Basisbegroting geeft een overzicht van de geraamde kosten en baten voor de handhavingsaanpak op basis van de ingevoerde gegevens. Hier hoeft niets ingevoerd te worden.</t>
  </si>
  <si>
    <t>Type blad</t>
  </si>
  <si>
    <t>Informatieblad</t>
  </si>
  <si>
    <t>Invoerblad</t>
  </si>
  <si>
    <t>Resultaatblad</t>
  </si>
  <si>
    <t xml:space="preserve">De oranje gekleurde velden in de verschillende tabbladen behoeven input vanuit de gemeente. De overige velden bevatten formules of tekst en hoeven niet aangepast te worden. De aanpassing van deze velden, heeft invloed op de uitkomsten van en informatie in de spreadsheet. </t>
  </si>
  <si>
    <t>Jaarlijks totaal</t>
  </si>
  <si>
    <t>Bouwkosten maaiveldstalling per fiets</t>
  </si>
  <si>
    <t>Bouwkosten gebouwde stalling per fiets</t>
  </si>
  <si>
    <t>[€ 1500 is een realistische waarde]</t>
  </si>
  <si>
    <t>Saldo [kosten-opbrengsten]</t>
  </si>
  <si>
    <t>[€ 600 is een realistische waarde]</t>
  </si>
  <si>
    <r>
      <t xml:space="preserve">Deze spreadsheet biedt gemeenten houvast bij het maken van een kostenraming voor de handhavingsaanpak. De kostenraming is geen exacte wetenschap, maar geeft een </t>
    </r>
    <r>
      <rPr>
        <u/>
        <sz val="11"/>
        <color theme="1"/>
        <rFont val="Calibri"/>
        <family val="2"/>
        <scheme val="minor"/>
      </rPr>
      <t>indicatie</t>
    </r>
    <r>
      <rPr>
        <sz val="11"/>
        <color theme="1"/>
        <rFont val="Calibri"/>
        <family val="2"/>
        <scheme val="minor"/>
      </rPr>
      <t xml:space="preserve"> van de kosten die aan de handhavingsaanpak is verbonden. Het betreft een spreadsheet die de gemeente zelf kan invullen en aanpassen aan de hand van de lokale situatie en de beslissingen die men neemt over de invulling van de handhaving.</t>
    </r>
  </si>
  <si>
    <t>Invoerblad/Resultaatblad</t>
  </si>
  <si>
    <t>Parkeeraantallen</t>
  </si>
  <si>
    <t>Kosten en Baten per locatie</t>
  </si>
  <si>
    <t>Toelichting Indicatieve kostenraming handhavingsaanpak</t>
  </si>
  <si>
    <t>Wat gaat de handhavingsaanpak kosten? Dit is vaak één van de eerste vragen die een gemeente stelt bij het voornemen om de voorbereidingen voor een handhavingsaanpak te starten. In een dergelijk vroegtijdig stadium is het vrijwel onmogelijk deze vraag te beantwoorden, omdat er nog een groot aantal onbekende factoren zijn die de kosten van de handhavingsaanpak bepalen.</t>
  </si>
  <si>
    <t>[2 minuten per fiets/label]</t>
  </si>
  <si>
    <t>[40% is een realistische waarde]</t>
  </si>
  <si>
    <t>[2% is een realistische waarde]</t>
  </si>
  <si>
    <t xml:space="preserve">[25% is een realistische waarde] </t>
  </si>
  <si>
    <t>[minuten per fiets/label]</t>
  </si>
  <si>
    <t>[10% - 20% is uit ervaring een realistische waarde]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</si>
</sst>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 #,##0;&quot;€&quot;\ \-#,##0"/>
    <numFmt numFmtId="43" formatCode="_ * #,##0.00_ ;_ * \-#,##0.00_ ;_ * &quot;-&quot;??_ ;_ @_ "/>
    <numFmt numFmtId="164" formatCode="_-* #,##0_-;_-* #,##0\-;_-* &quot;-&quot;??_-;_-@_-"/>
    <numFmt numFmtId="165" formatCode="0.0"/>
    <numFmt numFmtId="166" formatCode="&quot;€&quot;\ #,##0.00_-"/>
    <numFmt numFmtId="167" formatCode="#,##0.0"/>
    <numFmt numFmtId="168" formatCode="&quot;€&quot;\ #,##0_-"/>
  </numFmts>
  <fonts count="2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2"/>
      <color theme="9" tint="-0.249977111117893"/>
      <name val="Calibri"/>
      <family val="2"/>
      <scheme val="minor"/>
    </font>
    <font>
      <sz val="11"/>
      <color theme="9" tint="-0.249977111117893"/>
      <name val="Calibri"/>
      <family val="2"/>
      <scheme val="minor"/>
    </font>
    <font>
      <b/>
      <sz val="11"/>
      <name val="Calibri"/>
      <family val="2"/>
      <scheme val="minor"/>
    </font>
    <font>
      <sz val="11"/>
      <name val="Calibri"/>
      <family val="2"/>
      <scheme val="minor"/>
    </font>
    <font>
      <b/>
      <sz val="11"/>
      <color theme="9" tint="-0.249977111117893"/>
      <name val="Calibri"/>
      <family val="2"/>
      <scheme val="minor"/>
    </font>
    <font>
      <b/>
      <i/>
      <sz val="10"/>
      <color theme="0"/>
      <name val="Calibri"/>
      <family val="2"/>
      <scheme val="minor"/>
    </font>
    <font>
      <sz val="9"/>
      <color theme="1"/>
      <name val="Calibri"/>
      <family val="2"/>
      <scheme val="minor"/>
    </font>
    <font>
      <i/>
      <sz val="10"/>
      <color theme="1"/>
      <name val="Calibri"/>
      <family val="2"/>
      <scheme val="minor"/>
    </font>
    <font>
      <b/>
      <i/>
      <sz val="10"/>
      <color theme="1"/>
      <name val="Calibri"/>
      <family val="2"/>
      <scheme val="minor"/>
    </font>
    <font>
      <sz val="10"/>
      <color theme="1"/>
      <name val="Calibri"/>
      <family val="2"/>
      <scheme val="minor"/>
    </font>
    <font>
      <b/>
      <sz val="12"/>
      <color theme="0"/>
      <name val="Calibri"/>
      <family val="2"/>
      <scheme val="minor"/>
    </font>
    <font>
      <sz val="12"/>
      <color theme="0"/>
      <name val="Calibri"/>
      <family val="2"/>
      <scheme val="minor"/>
    </font>
    <font>
      <sz val="9"/>
      <color theme="9" tint="-0.249977111117893"/>
      <name val="Calibri"/>
      <family val="2"/>
      <scheme val="minor"/>
    </font>
    <font>
      <i/>
      <sz val="9"/>
      <color theme="9" tint="-0.249977111117893"/>
      <name val="Calibri"/>
      <family val="2"/>
      <scheme val="minor"/>
    </font>
    <font>
      <u/>
      <sz val="11"/>
      <color theme="10"/>
      <name val="Calibri"/>
      <family val="2"/>
      <scheme val="minor"/>
    </font>
    <font>
      <b/>
      <sz val="9"/>
      <name val="Calibri"/>
      <family val="2"/>
      <scheme val="minor"/>
    </font>
    <font>
      <b/>
      <i/>
      <sz val="9"/>
      <name val="Calibri"/>
      <family val="2"/>
      <scheme val="minor"/>
    </font>
    <font>
      <sz val="10"/>
      <name val="Calibri"/>
      <family val="2"/>
      <scheme val="minor"/>
    </font>
    <font>
      <b/>
      <sz val="9"/>
      <name val="Arial"/>
      <family val="2"/>
    </font>
    <font>
      <sz val="8"/>
      <color indexed="81"/>
      <name val="Tahoma"/>
      <family val="2"/>
    </font>
    <font>
      <u/>
      <sz val="11"/>
      <color theme="1"/>
      <name val="Calibri"/>
      <family val="2"/>
      <scheme val="minor"/>
    </font>
    <font>
      <b/>
      <u/>
      <sz val="11"/>
      <color theme="10"/>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5"/>
        <bgColor indexed="64"/>
      </patternFill>
    </fill>
    <fill>
      <patternFill patternType="solid">
        <fgColor theme="4" tint="0.79998168889431442"/>
        <bgColor indexed="64"/>
      </patternFill>
    </fill>
    <fill>
      <patternFill patternType="solid">
        <fgColor theme="3"/>
        <bgColor indexed="64"/>
      </patternFill>
    </fill>
    <fill>
      <patternFill patternType="solid">
        <fgColor theme="9" tint="0.79998168889431442"/>
        <bgColor indexed="64"/>
      </patternFill>
    </fill>
    <fill>
      <patternFill patternType="solid">
        <fgColor theme="0"/>
        <bgColor indexed="64"/>
      </patternFill>
    </fill>
  </fills>
  <borders count="2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179">
    <xf numFmtId="0" fontId="0" fillId="0" borderId="0" xfId="0"/>
    <xf numFmtId="0" fontId="3" fillId="0" borderId="0" xfId="0" applyFont="1"/>
    <xf numFmtId="0" fontId="0" fillId="0" borderId="0" xfId="0" applyBorder="1"/>
    <xf numFmtId="0" fontId="0" fillId="0" borderId="0" xfId="0" applyFill="1" applyBorder="1"/>
    <xf numFmtId="164" fontId="5" fillId="0" borderId="0" xfId="1" applyNumberFormat="1" applyFont="1" applyFill="1" applyBorder="1"/>
    <xf numFmtId="164" fontId="0" fillId="0" borderId="0" xfId="0" applyNumberFormat="1"/>
    <xf numFmtId="0" fontId="3" fillId="0" borderId="0" xfId="0" applyFont="1" applyFill="1" applyBorder="1"/>
    <xf numFmtId="0" fontId="0" fillId="0" borderId="0" xfId="0" applyFont="1"/>
    <xf numFmtId="1" fontId="10" fillId="0" borderId="0" xfId="0" applyNumberFormat="1" applyFont="1" applyFill="1" applyBorder="1"/>
    <xf numFmtId="9" fontId="0" fillId="0" borderId="0" xfId="0" applyNumberFormat="1"/>
    <xf numFmtId="0" fontId="0" fillId="0" borderId="5" xfId="0" applyBorder="1"/>
    <xf numFmtId="0" fontId="0" fillId="0" borderId="4" xfId="0" applyBorder="1"/>
    <xf numFmtId="0" fontId="2" fillId="5" borderId="7" xfId="0" applyFont="1" applyFill="1" applyBorder="1"/>
    <xf numFmtId="0" fontId="2" fillId="5" borderId="1" xfId="0" applyFont="1" applyFill="1" applyBorder="1"/>
    <xf numFmtId="0" fontId="4" fillId="5" borderId="1" xfId="0" applyFont="1" applyFill="1" applyBorder="1"/>
    <xf numFmtId="0" fontId="3" fillId="0" borderId="5" xfId="0" applyFont="1" applyBorder="1"/>
    <xf numFmtId="0" fontId="12" fillId="0" borderId="0" xfId="0" applyFont="1" applyBorder="1"/>
    <xf numFmtId="0" fontId="0" fillId="4" borderId="0" xfId="0" applyFill="1" applyBorder="1"/>
    <xf numFmtId="166" fontId="0" fillId="0" borderId="0" xfId="0" applyNumberFormat="1" applyBorder="1"/>
    <xf numFmtId="0" fontId="12" fillId="0" borderId="0" xfId="0" applyFont="1" applyFill="1" applyBorder="1"/>
    <xf numFmtId="0" fontId="3" fillId="4" borderId="5" xfId="0" applyFont="1" applyFill="1" applyBorder="1"/>
    <xf numFmtId="0" fontId="3" fillId="4" borderId="0" xfId="0" applyFont="1" applyFill="1" applyBorder="1"/>
    <xf numFmtId="0" fontId="3" fillId="4" borderId="0" xfId="0" applyFont="1" applyFill="1" applyBorder="1" applyAlignment="1">
      <alignment horizontal="right"/>
    </xf>
    <xf numFmtId="0" fontId="0" fillId="0" borderId="8" xfId="0" applyBorder="1"/>
    <xf numFmtId="0" fontId="0" fillId="0" borderId="9" xfId="0" applyBorder="1"/>
    <xf numFmtId="0" fontId="0" fillId="0" borderId="2" xfId="0" applyBorder="1" applyAlignment="1">
      <alignment horizontal="center"/>
    </xf>
    <xf numFmtId="0" fontId="0" fillId="0" borderId="0" xfId="0" applyAlignment="1">
      <alignment horizontal="center"/>
    </xf>
    <xf numFmtId="0" fontId="0" fillId="0" borderId="0" xfId="0" applyBorder="1" applyAlignment="1">
      <alignment horizontal="center"/>
    </xf>
    <xf numFmtId="164" fontId="5" fillId="0" borderId="0" xfId="1" applyNumberFormat="1" applyFont="1" applyAlignment="1">
      <alignment horizontal="center"/>
    </xf>
    <xf numFmtId="1" fontId="0" fillId="0" borderId="2" xfId="0" applyNumberFormat="1" applyFont="1" applyFill="1" applyBorder="1" applyAlignment="1">
      <alignment horizontal="center"/>
    </xf>
    <xf numFmtId="0" fontId="0" fillId="0" borderId="2" xfId="0" applyFont="1" applyFill="1" applyBorder="1" applyAlignment="1">
      <alignment horizontal="center"/>
    </xf>
    <xf numFmtId="0" fontId="9" fillId="0" borderId="0" xfId="0" applyFont="1" applyBorder="1"/>
    <xf numFmtId="0" fontId="0" fillId="0" borderId="0" xfId="0" applyFill="1" applyBorder="1" applyAlignment="1">
      <alignment horizontal="center"/>
    </xf>
    <xf numFmtId="49" fontId="0" fillId="0" borderId="0" xfId="0" applyNumberFormat="1" applyAlignment="1">
      <alignment horizontal="center" vertical="top" wrapText="1"/>
    </xf>
    <xf numFmtId="0" fontId="2" fillId="3" borderId="0" xfId="0" applyFont="1" applyFill="1" applyBorder="1"/>
    <xf numFmtId="0" fontId="16" fillId="5" borderId="0" xfId="0" applyFont="1" applyFill="1"/>
    <xf numFmtId="0" fontId="17" fillId="5" borderId="0" xfId="0" applyFont="1" applyFill="1" applyAlignment="1">
      <alignment horizontal="center"/>
    </xf>
    <xf numFmtId="0" fontId="17" fillId="5" borderId="0" xfId="0" applyFont="1" applyFill="1"/>
    <xf numFmtId="0" fontId="2" fillId="5" borderId="0" xfId="0" applyFont="1" applyFill="1"/>
    <xf numFmtId="0" fontId="0" fillId="0" borderId="0" xfId="0" applyBorder="1" applyAlignment="1"/>
    <xf numFmtId="166" fontId="3" fillId="4" borderId="0" xfId="0" applyNumberFormat="1" applyFont="1" applyFill="1" applyBorder="1" applyAlignment="1">
      <alignment horizontal="center"/>
    </xf>
    <xf numFmtId="0" fontId="2" fillId="5" borderId="1" xfId="0" applyFont="1" applyFill="1" applyBorder="1" applyAlignment="1">
      <alignment horizontal="center"/>
    </xf>
    <xf numFmtId="0" fontId="0" fillId="0" borderId="9" xfId="0" applyBorder="1" applyAlignment="1">
      <alignment horizontal="center"/>
    </xf>
    <xf numFmtId="0" fontId="2" fillId="3" borderId="1" xfId="0" applyFont="1" applyFill="1" applyBorder="1" applyAlignment="1">
      <alignment horizontal="center"/>
    </xf>
    <xf numFmtId="0" fontId="9" fillId="2" borderId="0" xfId="0" applyFont="1" applyFill="1" applyBorder="1" applyAlignment="1">
      <alignment horizontal="center"/>
    </xf>
    <xf numFmtId="166" fontId="9" fillId="2" borderId="0" xfId="0" applyNumberFormat="1" applyFont="1" applyFill="1" applyBorder="1" applyAlignment="1">
      <alignment horizontal="center"/>
    </xf>
    <xf numFmtId="166" fontId="8" fillId="2" borderId="0" xfId="0" applyNumberFormat="1" applyFont="1" applyFill="1" applyBorder="1" applyAlignment="1">
      <alignment horizontal="center"/>
    </xf>
    <xf numFmtId="0" fontId="4" fillId="5" borderId="1" xfId="0" applyFont="1" applyFill="1" applyBorder="1" applyAlignment="1">
      <alignment horizontal="center"/>
    </xf>
    <xf numFmtId="165" fontId="0" fillId="0" borderId="0" xfId="0" applyNumberFormat="1" applyBorder="1" applyAlignment="1">
      <alignment horizontal="center"/>
    </xf>
    <xf numFmtId="0" fontId="3" fillId="4" borderId="0" xfId="0" applyFont="1" applyFill="1" applyBorder="1" applyAlignment="1">
      <alignment horizontal="center"/>
    </xf>
    <xf numFmtId="0" fontId="12" fillId="0" borderId="0" xfId="0" applyFont="1" applyBorder="1" applyAlignment="1">
      <alignment horizontal="center"/>
    </xf>
    <xf numFmtId="0" fontId="12" fillId="0" borderId="0" xfId="0" applyFont="1" applyFill="1" applyBorder="1" applyAlignment="1">
      <alignment horizontal="center"/>
    </xf>
    <xf numFmtId="166" fontId="9" fillId="0" borderId="0" xfId="0" applyNumberFormat="1" applyFont="1" applyBorder="1" applyAlignment="1">
      <alignment horizontal="center"/>
    </xf>
    <xf numFmtId="166" fontId="0" fillId="0" borderId="0" xfId="0" applyNumberFormat="1" applyBorder="1" applyAlignment="1">
      <alignment horizontal="center"/>
    </xf>
    <xf numFmtId="166" fontId="7" fillId="0" borderId="0" xfId="0" applyNumberFormat="1" applyFont="1" applyBorder="1" applyAlignment="1">
      <alignment horizontal="center"/>
    </xf>
    <xf numFmtId="3" fontId="0" fillId="0" borderId="0" xfId="0" applyNumberFormat="1" applyBorder="1" applyAlignment="1">
      <alignment horizontal="center"/>
    </xf>
    <xf numFmtId="0" fontId="9" fillId="0" borderId="0" xfId="0" applyFont="1" applyBorder="1" applyAlignment="1">
      <alignment horizontal="center"/>
    </xf>
    <xf numFmtId="9" fontId="0" fillId="0" borderId="0" xfId="0" applyNumberFormat="1" applyFont="1" applyBorder="1" applyAlignment="1">
      <alignment horizontal="center"/>
    </xf>
    <xf numFmtId="168" fontId="9" fillId="2" borderId="0" xfId="0" applyNumberFormat="1" applyFont="1" applyFill="1" applyBorder="1" applyAlignment="1">
      <alignment horizontal="center"/>
    </xf>
    <xf numFmtId="168" fontId="8" fillId="2" borderId="0" xfId="0" applyNumberFormat="1" applyFont="1" applyFill="1" applyBorder="1" applyAlignment="1">
      <alignment horizontal="center"/>
    </xf>
    <xf numFmtId="0" fontId="3" fillId="0" borderId="5" xfId="0" applyFont="1" applyFill="1" applyBorder="1"/>
    <xf numFmtId="0" fontId="3" fillId="0" borderId="0" xfId="0" applyFont="1" applyFill="1" applyBorder="1" applyAlignment="1">
      <alignment horizontal="center"/>
    </xf>
    <xf numFmtId="166" fontId="8" fillId="0" borderId="0" xfId="0" applyNumberFormat="1" applyFont="1" applyFill="1" applyBorder="1" applyAlignment="1">
      <alignment horizontal="center"/>
    </xf>
    <xf numFmtId="0" fontId="11" fillId="5" borderId="1" xfId="0" applyFont="1" applyFill="1" applyBorder="1" applyAlignment="1">
      <alignment horizontal="center"/>
    </xf>
    <xf numFmtId="0" fontId="2" fillId="5" borderId="6" xfId="0" applyFont="1" applyFill="1" applyBorder="1" applyAlignment="1">
      <alignment horizontal="center"/>
    </xf>
    <xf numFmtId="0" fontId="13" fillId="0" borderId="0" xfId="0" applyFont="1" applyBorder="1" applyAlignment="1">
      <alignment horizontal="center"/>
    </xf>
    <xf numFmtId="166" fontId="13" fillId="0" borderId="0" xfId="0" applyNumberFormat="1" applyFont="1" applyBorder="1" applyAlignment="1">
      <alignment horizontal="center"/>
    </xf>
    <xf numFmtId="168" fontId="0" fillId="4" borderId="4" xfId="0" applyNumberFormat="1" applyFill="1" applyBorder="1" applyAlignment="1">
      <alignment horizontal="center"/>
    </xf>
    <xf numFmtId="166" fontId="14" fillId="4" borderId="0" xfId="0" applyNumberFormat="1" applyFont="1" applyFill="1" applyBorder="1" applyAlignment="1">
      <alignment horizontal="center"/>
    </xf>
    <xf numFmtId="168" fontId="3" fillId="4" borderId="4" xfId="0" applyNumberFormat="1" applyFont="1" applyFill="1" applyBorder="1" applyAlignment="1">
      <alignment horizontal="center"/>
    </xf>
    <xf numFmtId="0" fontId="13" fillId="4" borderId="0" xfId="0" applyFont="1" applyFill="1" applyBorder="1" applyAlignment="1">
      <alignment horizontal="center"/>
    </xf>
    <xf numFmtId="0" fontId="13" fillId="0" borderId="0" xfId="0" applyFont="1" applyFill="1" applyBorder="1" applyAlignment="1">
      <alignment horizontal="center"/>
    </xf>
    <xf numFmtId="166" fontId="14" fillId="0" borderId="0" xfId="0" applyNumberFormat="1" applyFont="1" applyFill="1" applyBorder="1" applyAlignment="1">
      <alignment horizontal="center"/>
    </xf>
    <xf numFmtId="166" fontId="3" fillId="0" borderId="4" xfId="0" applyNumberFormat="1" applyFont="1" applyFill="1" applyBorder="1" applyAlignment="1">
      <alignment horizontal="center"/>
    </xf>
    <xf numFmtId="166" fontId="13" fillId="0" borderId="0" xfId="0" applyNumberFormat="1" applyFont="1" applyFill="1" applyBorder="1" applyAlignment="1">
      <alignment horizontal="center"/>
    </xf>
    <xf numFmtId="0" fontId="0" fillId="0" borderId="4" xfId="0" applyFill="1" applyBorder="1" applyAlignment="1">
      <alignment horizontal="center"/>
    </xf>
    <xf numFmtId="166" fontId="0" fillId="0" borderId="9" xfId="0" applyNumberFormat="1" applyBorder="1" applyAlignment="1">
      <alignment horizontal="center"/>
    </xf>
    <xf numFmtId="0" fontId="0" fillId="0" borderId="10" xfId="0" applyBorder="1" applyAlignment="1">
      <alignment horizontal="center"/>
    </xf>
    <xf numFmtId="0" fontId="2" fillId="5" borderId="12" xfId="0" applyFont="1" applyFill="1" applyBorder="1"/>
    <xf numFmtId="0" fontId="4" fillId="5" borderId="13" xfId="0" applyFont="1" applyFill="1" applyBorder="1"/>
    <xf numFmtId="0" fontId="4" fillId="5" borderId="13" xfId="0" applyFont="1" applyFill="1" applyBorder="1" applyAlignment="1">
      <alignment horizontal="center"/>
    </xf>
    <xf numFmtId="0" fontId="2" fillId="5" borderId="13" xfId="0" applyFont="1" applyFill="1" applyBorder="1" applyAlignment="1">
      <alignment horizontal="center"/>
    </xf>
    <xf numFmtId="0" fontId="2" fillId="3" borderId="13" xfId="0" applyFont="1" applyFill="1" applyBorder="1" applyAlignment="1">
      <alignment horizontal="center"/>
    </xf>
    <xf numFmtId="0" fontId="11" fillId="5" borderId="13" xfId="0" applyFont="1" applyFill="1" applyBorder="1" applyAlignment="1">
      <alignment horizontal="center"/>
    </xf>
    <xf numFmtId="1" fontId="0" fillId="0" borderId="0" xfId="0" applyNumberFormat="1" applyBorder="1" applyAlignment="1">
      <alignment horizontal="center"/>
    </xf>
    <xf numFmtId="1" fontId="0" fillId="0" borderId="0" xfId="0" applyNumberFormat="1"/>
    <xf numFmtId="49" fontId="15" fillId="0" borderId="0" xfId="0" applyNumberFormat="1" applyFont="1" applyAlignment="1">
      <alignment horizontal="center" vertical="top" wrapText="1"/>
    </xf>
    <xf numFmtId="9" fontId="0" fillId="0" borderId="0" xfId="2" applyFont="1" applyAlignment="1">
      <alignment horizontal="center"/>
    </xf>
    <xf numFmtId="9" fontId="0" fillId="0" borderId="0" xfId="0" applyNumberFormat="1" applyAlignment="1">
      <alignment horizontal="center"/>
    </xf>
    <xf numFmtId="1" fontId="3" fillId="4" borderId="0" xfId="0" applyNumberFormat="1" applyFont="1" applyFill="1" applyBorder="1" applyAlignment="1">
      <alignment horizontal="center"/>
    </xf>
    <xf numFmtId="3" fontId="0" fillId="0" borderId="0" xfId="0" applyNumberFormat="1"/>
    <xf numFmtId="0" fontId="3" fillId="4" borderId="4" xfId="0" applyFont="1" applyFill="1" applyBorder="1"/>
    <xf numFmtId="0" fontId="0" fillId="0" borderId="0" xfId="0" applyAlignment="1">
      <alignment horizontal="left"/>
    </xf>
    <xf numFmtId="9" fontId="7" fillId="6" borderId="0" xfId="0" applyNumberFormat="1" applyFont="1" applyFill="1" applyBorder="1"/>
    <xf numFmtId="0" fontId="7" fillId="6" borderId="0" xfId="0" applyFont="1" applyFill="1" applyBorder="1"/>
    <xf numFmtId="165" fontId="7" fillId="6" borderId="0" xfId="0" applyNumberFormat="1" applyFont="1" applyFill="1" applyBorder="1"/>
    <xf numFmtId="5" fontId="6" fillId="6" borderId="0" xfId="1" applyNumberFormat="1" applyFont="1" applyFill="1" applyBorder="1"/>
    <xf numFmtId="0" fontId="0" fillId="4" borderId="0" xfId="0" applyFill="1" applyBorder="1" applyAlignment="1">
      <alignment horizontal="center"/>
    </xf>
    <xf numFmtId="0" fontId="0" fillId="4" borderId="0" xfId="0" applyFill="1" applyAlignment="1">
      <alignment horizontal="center"/>
    </xf>
    <xf numFmtId="0" fontId="0" fillId="4" borderId="0" xfId="0" applyFill="1"/>
    <xf numFmtId="0" fontId="3" fillId="4" borderId="0" xfId="0" applyFont="1" applyFill="1"/>
    <xf numFmtId="166" fontId="7" fillId="6" borderId="0" xfId="0" applyNumberFormat="1" applyFont="1" applyFill="1" applyBorder="1"/>
    <xf numFmtId="1" fontId="7" fillId="6" borderId="0" xfId="0" applyNumberFormat="1" applyFont="1" applyFill="1" applyBorder="1"/>
    <xf numFmtId="9" fontId="7" fillId="6" borderId="0" xfId="0" applyNumberFormat="1" applyFont="1" applyFill="1"/>
    <xf numFmtId="0" fontId="18" fillId="6" borderId="2" xfId="0" applyFont="1" applyFill="1" applyBorder="1" applyAlignment="1">
      <alignment vertical="center" wrapText="1"/>
    </xf>
    <xf numFmtId="0" fontId="18" fillId="6" borderId="2" xfId="0" applyFont="1" applyFill="1" applyBorder="1" applyAlignment="1">
      <alignment horizontal="center" vertical="center" wrapText="1"/>
    </xf>
    <xf numFmtId="0" fontId="7" fillId="6" borderId="2" xfId="0" applyFont="1" applyFill="1" applyBorder="1" applyAlignment="1">
      <alignment horizontal="center"/>
    </xf>
    <xf numFmtId="0" fontId="19" fillId="6" borderId="2" xfId="0" applyFont="1" applyFill="1" applyBorder="1" applyAlignment="1">
      <alignment horizontal="center" vertical="center" wrapText="1"/>
    </xf>
    <xf numFmtId="49" fontId="21" fillId="4" borderId="11" xfId="0" applyNumberFormat="1" applyFont="1" applyFill="1" applyBorder="1" applyAlignment="1">
      <alignment horizontal="left" vertical="top" wrapText="1"/>
    </xf>
    <xf numFmtId="49" fontId="21" fillId="4" borderId="11" xfId="0" applyNumberFormat="1" applyFont="1" applyFill="1" applyBorder="1" applyAlignment="1">
      <alignment horizontal="center" vertical="top" wrapText="1"/>
    </xf>
    <xf numFmtId="49" fontId="22" fillId="4" borderId="11" xfId="0" applyNumberFormat="1" applyFont="1" applyFill="1" applyBorder="1" applyAlignment="1">
      <alignment horizontal="center" vertical="top" wrapText="1"/>
    </xf>
    <xf numFmtId="49" fontId="23" fillId="4" borderId="0" xfId="0" applyNumberFormat="1" applyFont="1" applyFill="1" applyAlignment="1">
      <alignment horizontal="center" vertical="top" wrapText="1"/>
    </xf>
    <xf numFmtId="0" fontId="24" fillId="4" borderId="2" xfId="0" applyFont="1" applyFill="1" applyBorder="1" applyAlignment="1">
      <alignment vertical="center" wrapText="1"/>
    </xf>
    <xf numFmtId="3" fontId="21" fillId="4" borderId="2" xfId="0" applyNumberFormat="1" applyFont="1" applyFill="1" applyBorder="1" applyAlignment="1">
      <alignment horizontal="center"/>
    </xf>
    <xf numFmtId="0" fontId="0" fillId="5" borderId="0" xfId="0" applyFill="1"/>
    <xf numFmtId="0" fontId="2" fillId="5" borderId="3" xfId="0" applyFont="1" applyFill="1" applyBorder="1" applyAlignment="1">
      <alignment horizontal="center"/>
    </xf>
    <xf numFmtId="0" fontId="2" fillId="5" borderId="0" xfId="0" applyFont="1" applyFill="1" applyAlignment="1">
      <alignment vertical="center" wrapText="1"/>
    </xf>
    <xf numFmtId="0" fontId="2" fillId="5" borderId="0" xfId="0" applyFont="1" applyFill="1" applyAlignment="1">
      <alignment horizontal="center" wrapText="1"/>
    </xf>
    <xf numFmtId="0" fontId="0" fillId="0" borderId="0" xfId="0" applyFont="1" applyAlignment="1">
      <alignment wrapText="1"/>
    </xf>
    <xf numFmtId="0" fontId="3" fillId="0" borderId="0" xfId="0" applyFont="1" applyAlignment="1">
      <alignment vertical="center" wrapText="1"/>
    </xf>
    <xf numFmtId="0" fontId="0" fillId="0" borderId="0" xfId="0" applyFont="1" applyAlignment="1">
      <alignment horizontal="center" wrapText="1"/>
    </xf>
    <xf numFmtId="0" fontId="3" fillId="4" borderId="0" xfId="0" applyFont="1" applyFill="1" applyAlignment="1">
      <alignment vertical="center" wrapText="1"/>
    </xf>
    <xf numFmtId="0" fontId="3" fillId="4" borderId="0" xfId="0" applyFont="1" applyFill="1" applyAlignment="1">
      <alignment horizontal="center" wrapText="1"/>
    </xf>
    <xf numFmtId="0" fontId="0" fillId="0" borderId="0" xfId="0" applyFont="1" applyAlignment="1">
      <alignment vertical="center" wrapText="1"/>
    </xf>
    <xf numFmtId="0" fontId="7" fillId="6" borderId="0" xfId="0" applyFont="1" applyFill="1" applyAlignment="1">
      <alignment vertical="center" wrapText="1"/>
    </xf>
    <xf numFmtId="0" fontId="27" fillId="4" borderId="0" xfId="3" applyFont="1" applyFill="1" applyAlignment="1">
      <alignment vertical="center" wrapText="1"/>
    </xf>
    <xf numFmtId="0" fontId="8" fillId="4" borderId="0" xfId="0" applyFont="1" applyFill="1" applyAlignment="1">
      <alignment horizontal="center" wrapText="1"/>
    </xf>
    <xf numFmtId="0" fontId="4" fillId="5" borderId="0" xfId="0" applyFont="1" applyFill="1" applyAlignment="1">
      <alignment horizontal="center"/>
    </xf>
    <xf numFmtId="0" fontId="4" fillId="5" borderId="0" xfId="0" applyFont="1" applyFill="1"/>
    <xf numFmtId="0" fontId="0" fillId="5" borderId="0" xfId="0" applyFont="1" applyFill="1"/>
    <xf numFmtId="0" fontId="0" fillId="0" borderId="0" xfId="0" applyFont="1" applyFill="1" applyBorder="1"/>
    <xf numFmtId="0" fontId="0" fillId="0" borderId="0" xfId="0" applyFont="1" applyFill="1" applyBorder="1" applyAlignment="1">
      <alignment horizontal="center"/>
    </xf>
    <xf numFmtId="0" fontId="4" fillId="3" borderId="0" xfId="0" applyFont="1" applyFill="1" applyBorder="1" applyAlignment="1">
      <alignment horizontal="center"/>
    </xf>
    <xf numFmtId="0" fontId="4" fillId="3" borderId="0" xfId="0" applyFont="1" applyFill="1" applyBorder="1"/>
    <xf numFmtId="0" fontId="0" fillId="3" borderId="0" xfId="0" applyFont="1" applyFill="1"/>
    <xf numFmtId="0" fontId="3" fillId="4" borderId="0" xfId="0" applyFont="1" applyFill="1" applyBorder="1" applyAlignment="1">
      <alignment vertical="center" wrapText="1"/>
    </xf>
    <xf numFmtId="0" fontId="3" fillId="4" borderId="0" xfId="0" applyFont="1" applyFill="1" applyBorder="1" applyAlignment="1">
      <alignment horizontal="center" vertical="center" wrapText="1"/>
    </xf>
    <xf numFmtId="0" fontId="0" fillId="4" borderId="0" xfId="0" applyFont="1" applyFill="1"/>
    <xf numFmtId="3" fontId="0" fillId="0" borderId="0" xfId="0" applyNumberFormat="1" applyFont="1" applyFill="1" applyBorder="1" applyAlignment="1">
      <alignment horizontal="center"/>
    </xf>
    <xf numFmtId="2" fontId="0" fillId="0" borderId="0" xfId="0" applyNumberFormat="1" applyFont="1" applyFill="1" applyBorder="1" applyAlignment="1">
      <alignment horizontal="center"/>
    </xf>
    <xf numFmtId="3" fontId="3" fillId="0" borderId="0" xfId="0" applyNumberFormat="1" applyFont="1" applyFill="1" applyBorder="1" applyAlignment="1">
      <alignment horizontal="center"/>
    </xf>
    <xf numFmtId="2" fontId="3" fillId="0" borderId="0" xfId="0" applyNumberFormat="1" applyFont="1" applyFill="1" applyBorder="1" applyAlignment="1">
      <alignment horizontal="center"/>
    </xf>
    <xf numFmtId="164" fontId="0" fillId="0" borderId="0" xfId="0" applyNumberFormat="1" applyFont="1" applyFill="1" applyBorder="1" applyAlignment="1">
      <alignment horizontal="center"/>
    </xf>
    <xf numFmtId="9" fontId="0" fillId="0" borderId="0" xfId="0" applyNumberFormat="1" applyFont="1" applyFill="1" applyBorder="1" applyAlignment="1">
      <alignment horizontal="center"/>
    </xf>
    <xf numFmtId="165" fontId="0" fillId="0" borderId="0" xfId="0" applyNumberFormat="1" applyFont="1" applyFill="1" applyBorder="1"/>
    <xf numFmtId="165" fontId="3" fillId="0" borderId="0" xfId="0" applyNumberFormat="1" applyFont="1" applyFill="1" applyBorder="1" applyAlignment="1">
      <alignment horizontal="center"/>
    </xf>
    <xf numFmtId="2" fontId="0" fillId="0" borderId="0" xfId="0" applyNumberFormat="1" applyFont="1" applyFill="1" applyBorder="1" applyAlignment="1">
      <alignment horizontal="left"/>
    </xf>
    <xf numFmtId="9" fontId="7" fillId="6" borderId="0" xfId="0" applyNumberFormat="1" applyFont="1" applyFill="1" applyBorder="1" applyAlignment="1">
      <alignment horizontal="center"/>
    </xf>
    <xf numFmtId="0" fontId="3" fillId="4" borderId="0" xfId="0" applyFont="1" applyFill="1" applyAlignment="1">
      <alignment horizontal="center"/>
    </xf>
    <xf numFmtId="0" fontId="0" fillId="0" borderId="0" xfId="0" applyFont="1" applyAlignment="1">
      <alignment horizontal="center"/>
    </xf>
    <xf numFmtId="3" fontId="0" fillId="0" borderId="0" xfId="0" applyNumberFormat="1" applyFont="1" applyAlignment="1">
      <alignment horizontal="center"/>
    </xf>
    <xf numFmtId="167" fontId="0" fillId="0" borderId="0" xfId="0" applyNumberFormat="1" applyFont="1" applyFill="1" applyBorder="1" applyAlignment="1">
      <alignment horizontal="center"/>
    </xf>
    <xf numFmtId="0" fontId="3" fillId="0" borderId="0" xfId="0" applyFont="1" applyAlignment="1">
      <alignment horizontal="center"/>
    </xf>
    <xf numFmtId="167" fontId="3" fillId="0" borderId="0" xfId="0" applyNumberFormat="1" applyFont="1" applyAlignment="1">
      <alignment horizontal="center"/>
    </xf>
    <xf numFmtId="0" fontId="2" fillId="3" borderId="14" xfId="0" applyFont="1" applyFill="1" applyBorder="1"/>
    <xf numFmtId="0" fontId="2" fillId="3" borderId="17"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0" fillId="7" borderId="5" xfId="0" applyFont="1" applyFill="1" applyBorder="1"/>
    <xf numFmtId="168" fontId="0" fillId="7" borderId="18" xfId="0" applyNumberFormat="1" applyFont="1" applyFill="1" applyBorder="1" applyAlignment="1">
      <alignment horizontal="center"/>
    </xf>
    <xf numFmtId="168" fontId="0" fillId="7" borderId="5" xfId="0" applyNumberFormat="1" applyFont="1" applyFill="1" applyBorder="1" applyAlignment="1">
      <alignment horizontal="center"/>
    </xf>
    <xf numFmtId="168" fontId="0" fillId="7" borderId="0" xfId="0" applyNumberFormat="1" applyFont="1" applyFill="1" applyBorder="1" applyAlignment="1">
      <alignment horizontal="center"/>
    </xf>
    <xf numFmtId="168" fontId="0" fillId="7" borderId="4" xfId="0" applyNumberFormat="1" applyFont="1" applyFill="1" applyBorder="1" applyAlignment="1">
      <alignment horizontal="center"/>
    </xf>
    <xf numFmtId="0" fontId="0" fillId="2" borderId="5" xfId="0" applyFont="1" applyFill="1" applyBorder="1"/>
    <xf numFmtId="168" fontId="3" fillId="2" borderId="18" xfId="0" applyNumberFormat="1" applyFont="1" applyFill="1" applyBorder="1" applyAlignment="1">
      <alignment horizontal="center"/>
    </xf>
    <xf numFmtId="168" fontId="3" fillId="2" borderId="5" xfId="0" applyNumberFormat="1" applyFont="1" applyFill="1" applyBorder="1" applyAlignment="1">
      <alignment horizontal="center"/>
    </xf>
    <xf numFmtId="168" fontId="3" fillId="2" borderId="0" xfId="0" applyNumberFormat="1" applyFont="1" applyFill="1" applyBorder="1" applyAlignment="1">
      <alignment horizontal="center"/>
    </xf>
    <xf numFmtId="168" fontId="3" fillId="2" borderId="4" xfId="0" applyNumberFormat="1" applyFont="1" applyFill="1" applyBorder="1" applyAlignment="1">
      <alignment horizontal="center"/>
    </xf>
    <xf numFmtId="0" fontId="0" fillId="0" borderId="8" xfId="0" applyFont="1" applyBorder="1"/>
    <xf numFmtId="0" fontId="0" fillId="0" borderId="19" xfId="0" applyFont="1" applyBorder="1" applyAlignment="1">
      <alignment horizontal="center"/>
    </xf>
    <xf numFmtId="0" fontId="0" fillId="0" borderId="9" xfId="0" applyFont="1" applyBorder="1" applyAlignment="1">
      <alignment horizontal="center"/>
    </xf>
    <xf numFmtId="0" fontId="0" fillId="0" borderId="10" xfId="0" applyFont="1" applyBorder="1" applyAlignment="1">
      <alignment horizontal="center"/>
    </xf>
    <xf numFmtId="0" fontId="0" fillId="0" borderId="10" xfId="0" applyFont="1" applyBorder="1"/>
    <xf numFmtId="0" fontId="2" fillId="5" borderId="0" xfId="0" applyFont="1" applyFill="1" applyAlignment="1">
      <alignment horizontal="center"/>
    </xf>
    <xf numFmtId="0" fontId="2" fillId="5" borderId="14" xfId="0" applyFont="1" applyFill="1" applyBorder="1"/>
    <xf numFmtId="0" fontId="4" fillId="5" borderId="15" xfId="0" applyFont="1" applyFill="1" applyBorder="1"/>
    <xf numFmtId="0" fontId="4" fillId="5" borderId="15" xfId="0" applyFont="1" applyFill="1" applyBorder="1" applyAlignment="1">
      <alignment horizontal="center"/>
    </xf>
    <xf numFmtId="0" fontId="4" fillId="5" borderId="16" xfId="0" applyFont="1" applyFill="1" applyBorder="1"/>
  </cellXfs>
  <cellStyles count="4">
    <cellStyle name="Hyperlink" xfId="3" builtinId="8"/>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tabSelected="1" view="pageBreakPreview" zoomScale="110" zoomScaleNormal="100" zoomScaleSheetLayoutView="110" workbookViewId="0"/>
  </sheetViews>
  <sheetFormatPr defaultColWidth="118.28515625" defaultRowHeight="15" x14ac:dyDescent="0.25"/>
  <cols>
    <col min="1" max="1" width="126.28515625" style="118" customWidth="1"/>
    <col min="2" max="2" width="30.42578125" style="120" customWidth="1"/>
    <col min="3" max="16384" width="118.28515625" style="118"/>
  </cols>
  <sheetData>
    <row r="1" spans="1:2" x14ac:dyDescent="0.25">
      <c r="A1" s="116" t="s">
        <v>196</v>
      </c>
      <c r="B1" s="117" t="s">
        <v>181</v>
      </c>
    </row>
    <row r="2" spans="1:2" x14ac:dyDescent="0.25">
      <c r="A2" s="119"/>
    </row>
    <row r="3" spans="1:2" x14ac:dyDescent="0.25">
      <c r="A3" s="121" t="s">
        <v>158</v>
      </c>
      <c r="B3" s="122" t="s">
        <v>182</v>
      </c>
    </row>
    <row r="4" spans="1:2" ht="45" x14ac:dyDescent="0.25">
      <c r="A4" s="123" t="s">
        <v>197</v>
      </c>
    </row>
    <row r="5" spans="1:2" ht="60" x14ac:dyDescent="0.25">
      <c r="A5" s="123" t="s">
        <v>192</v>
      </c>
    </row>
    <row r="6" spans="1:2" ht="30" x14ac:dyDescent="0.25">
      <c r="A6" s="123" t="s">
        <v>159</v>
      </c>
    </row>
    <row r="7" spans="1:2" ht="45" x14ac:dyDescent="0.25">
      <c r="A7" s="124" t="s">
        <v>185</v>
      </c>
    </row>
    <row r="8" spans="1:2" x14ac:dyDescent="0.25">
      <c r="A8" s="123"/>
    </row>
    <row r="9" spans="1:2" x14ac:dyDescent="0.25">
      <c r="A9" s="125" t="s">
        <v>160</v>
      </c>
      <c r="B9" s="126" t="s">
        <v>183</v>
      </c>
    </row>
    <row r="10" spans="1:2" ht="30" x14ac:dyDescent="0.25">
      <c r="A10" s="123" t="s">
        <v>161</v>
      </c>
    </row>
    <row r="11" spans="1:2" x14ac:dyDescent="0.25">
      <c r="A11" s="123"/>
    </row>
    <row r="12" spans="1:2" x14ac:dyDescent="0.25">
      <c r="A12" s="125" t="s">
        <v>162</v>
      </c>
      <c r="B12" s="126" t="s">
        <v>183</v>
      </c>
    </row>
    <row r="13" spans="1:2" ht="60" x14ac:dyDescent="0.25">
      <c r="A13" s="123" t="s">
        <v>163</v>
      </c>
    </row>
    <row r="14" spans="1:2" x14ac:dyDescent="0.25">
      <c r="A14" s="123"/>
    </row>
    <row r="15" spans="1:2" x14ac:dyDescent="0.25">
      <c r="A15" s="125" t="s">
        <v>164</v>
      </c>
      <c r="B15" s="126" t="s">
        <v>193</v>
      </c>
    </row>
    <row r="16" spans="1:2" ht="45" x14ac:dyDescent="0.25">
      <c r="A16" s="123" t="s">
        <v>165</v>
      </c>
    </row>
    <row r="17" spans="1:2" x14ac:dyDescent="0.25">
      <c r="A17" s="123"/>
    </row>
    <row r="18" spans="1:2" x14ac:dyDescent="0.25">
      <c r="A18" s="125" t="s">
        <v>166</v>
      </c>
      <c r="B18" s="122" t="s">
        <v>184</v>
      </c>
    </row>
    <row r="19" spans="1:2" ht="30" x14ac:dyDescent="0.25">
      <c r="A19" s="123" t="s">
        <v>180</v>
      </c>
    </row>
    <row r="20" spans="1:2" x14ac:dyDescent="0.25">
      <c r="A20" s="123"/>
    </row>
    <row r="21" spans="1:2" x14ac:dyDescent="0.25">
      <c r="A21" s="125" t="s">
        <v>167</v>
      </c>
      <c r="B21" s="122" t="s">
        <v>184</v>
      </c>
    </row>
    <row r="22" spans="1:2" ht="45" x14ac:dyDescent="0.25">
      <c r="A22" s="123" t="s">
        <v>168</v>
      </c>
    </row>
  </sheetData>
  <hyperlinks>
    <hyperlink ref="A12" location="Parkeeraantallen!A1" display="Tabblad Parkeeraantallen"/>
    <hyperlink ref="A15" location="Hulptabel!A1" display="Tabblad Hulptabel"/>
    <hyperlink ref="A18" location="Basisbegroting!A1" display="Tabblad Basisbegroting"/>
    <hyperlink ref="A21" location="'Kosten&amp;baten per locatie'!A1" display="Tabblad Kosten &amp; Baten per locatie"/>
    <hyperlink ref="A9" location="Basiskentallen!A1" display="Tabblad Basiskentallen"/>
  </hyperlinks>
  <pageMargins left="0.70866141732283472" right="0.70866141732283472"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view="pageBreakPreview" zoomScaleNormal="90" zoomScaleSheetLayoutView="100" workbookViewId="0"/>
  </sheetViews>
  <sheetFormatPr defaultRowHeight="15" x14ac:dyDescent="0.25"/>
  <cols>
    <col min="1" max="1" width="50.85546875" customWidth="1"/>
    <col min="2" max="2" width="8.28515625" style="26" customWidth="1"/>
    <col min="3" max="3" width="4.5703125" style="26" customWidth="1"/>
    <col min="4" max="4" width="13.140625" customWidth="1"/>
    <col min="5" max="5" width="10.28515625" customWidth="1"/>
    <col min="12" max="12" width="22.42578125" customWidth="1"/>
  </cols>
  <sheetData>
    <row r="1" spans="1:12" ht="15.75" x14ac:dyDescent="0.25">
      <c r="A1" s="35" t="s">
        <v>110</v>
      </c>
      <c r="B1" s="36"/>
      <c r="C1" s="36"/>
      <c r="D1" s="37"/>
      <c r="E1" s="114"/>
      <c r="F1" s="114"/>
      <c r="G1" s="114"/>
      <c r="H1" s="114"/>
      <c r="I1" s="114"/>
      <c r="J1" s="114"/>
      <c r="K1" s="114"/>
      <c r="L1" s="114"/>
    </row>
    <row r="2" spans="1:12" x14ac:dyDescent="0.25">
      <c r="A2" s="1"/>
    </row>
    <row r="3" spans="1:12" x14ac:dyDescent="0.25">
      <c r="A3" s="21" t="s">
        <v>0</v>
      </c>
      <c r="B3" s="97"/>
      <c r="C3" s="97"/>
      <c r="D3" s="17"/>
    </row>
    <row r="4" spans="1:12" x14ac:dyDescent="0.25">
      <c r="A4" s="2" t="s">
        <v>2</v>
      </c>
      <c r="B4" s="27"/>
      <c r="C4" s="27"/>
      <c r="D4" s="93">
        <v>0.1</v>
      </c>
      <c r="E4" t="s">
        <v>203</v>
      </c>
    </row>
    <row r="5" spans="1:12" x14ac:dyDescent="0.25">
      <c r="A5" s="39" t="s">
        <v>1</v>
      </c>
      <c r="B5" s="39"/>
      <c r="C5" s="39"/>
      <c r="D5" s="94">
        <v>0.48</v>
      </c>
      <c r="E5" s="2" t="s">
        <v>72</v>
      </c>
    </row>
    <row r="6" spans="1:12" x14ac:dyDescent="0.25">
      <c r="A6" s="2" t="s">
        <v>73</v>
      </c>
      <c r="B6" s="27"/>
      <c r="C6" s="27"/>
      <c r="D6" s="94">
        <v>2</v>
      </c>
      <c r="E6" s="2" t="s">
        <v>198</v>
      </c>
    </row>
    <row r="7" spans="1:12" x14ac:dyDescent="0.25">
      <c r="A7" s="2" t="s">
        <v>150</v>
      </c>
      <c r="B7" s="27"/>
      <c r="C7" s="27"/>
      <c r="D7" s="2"/>
    </row>
    <row r="8" spans="1:12" x14ac:dyDescent="0.25">
      <c r="A8" s="2"/>
      <c r="B8" s="27"/>
      <c r="C8" s="27"/>
      <c r="D8" s="2"/>
    </row>
    <row r="9" spans="1:12" x14ac:dyDescent="0.25">
      <c r="A9" s="21" t="s">
        <v>136</v>
      </c>
      <c r="B9" s="97"/>
      <c r="C9" s="97"/>
      <c r="D9" s="17"/>
    </row>
    <row r="10" spans="1:12" x14ac:dyDescent="0.25">
      <c r="A10" s="2" t="s">
        <v>16</v>
      </c>
      <c r="B10" s="27"/>
      <c r="C10" s="27"/>
      <c r="D10" s="93">
        <v>0.03</v>
      </c>
    </row>
    <row r="11" spans="1:12" x14ac:dyDescent="0.25">
      <c r="A11" s="2" t="s">
        <v>73</v>
      </c>
      <c r="B11" s="27"/>
      <c r="C11" s="27"/>
      <c r="D11" s="31">
        <f>D6</f>
        <v>2</v>
      </c>
      <c r="E11" s="2" t="s">
        <v>202</v>
      </c>
    </row>
    <row r="12" spans="1:12" x14ac:dyDescent="0.25">
      <c r="A12" s="2" t="s">
        <v>150</v>
      </c>
      <c r="B12" s="27"/>
      <c r="C12" s="27"/>
      <c r="D12" s="31"/>
      <c r="E12" s="2"/>
    </row>
    <row r="13" spans="1:12" x14ac:dyDescent="0.25">
      <c r="A13" s="2"/>
      <c r="B13" s="27"/>
      <c r="C13" s="27"/>
      <c r="D13" s="2"/>
    </row>
    <row r="14" spans="1:12" x14ac:dyDescent="0.25">
      <c r="A14" s="21" t="s">
        <v>142</v>
      </c>
      <c r="B14" s="49"/>
      <c r="C14" s="49"/>
      <c r="D14" s="21"/>
    </row>
    <row r="15" spans="1:12" x14ac:dyDescent="0.25">
      <c r="A15" s="3" t="s">
        <v>111</v>
      </c>
      <c r="B15" s="27"/>
      <c r="C15" s="27"/>
      <c r="D15" s="94">
        <v>9.6</v>
      </c>
      <c r="E15" s="3" t="s">
        <v>122</v>
      </c>
    </row>
    <row r="16" spans="1:12" x14ac:dyDescent="0.25">
      <c r="A16" s="3" t="s">
        <v>126</v>
      </c>
      <c r="B16" s="2"/>
      <c r="C16" s="2"/>
      <c r="D16" s="94">
        <v>9.6</v>
      </c>
      <c r="E16" s="3" t="s">
        <v>121</v>
      </c>
      <c r="F16" s="2"/>
      <c r="G16" s="2"/>
      <c r="H16" s="2"/>
    </row>
    <row r="17" spans="1:6" x14ac:dyDescent="0.25">
      <c r="A17" s="3" t="s">
        <v>124</v>
      </c>
      <c r="B17" s="27"/>
      <c r="C17" s="27"/>
      <c r="D17" s="95">
        <v>0.5</v>
      </c>
      <c r="E17" t="s">
        <v>103</v>
      </c>
    </row>
    <row r="18" spans="1:6" x14ac:dyDescent="0.25">
      <c r="A18" s="2"/>
      <c r="B18" s="27"/>
      <c r="C18" s="27"/>
      <c r="D18" s="2"/>
    </row>
    <row r="19" spans="1:6" x14ac:dyDescent="0.25">
      <c r="A19" s="21" t="s">
        <v>5</v>
      </c>
      <c r="B19" s="97"/>
      <c r="C19" s="97"/>
      <c r="D19" s="17"/>
    </row>
    <row r="20" spans="1:6" x14ac:dyDescent="0.25">
      <c r="A20" s="2" t="s">
        <v>4</v>
      </c>
      <c r="B20" s="27"/>
      <c r="C20" s="27"/>
      <c r="D20" s="94">
        <v>200</v>
      </c>
    </row>
    <row r="21" spans="1:6" ht="15.75" x14ac:dyDescent="0.25">
      <c r="A21" s="3" t="s">
        <v>57</v>
      </c>
      <c r="B21" s="32" t="s">
        <v>7</v>
      </c>
      <c r="C21" s="32">
        <v>6</v>
      </c>
      <c r="D21" s="96">
        <v>53000</v>
      </c>
      <c r="E21" s="5">
        <f t="shared" ref="E21:E26" si="0">D21/8/D$20</f>
        <v>33.125</v>
      </c>
      <c r="F21" t="s">
        <v>17</v>
      </c>
    </row>
    <row r="22" spans="1:6" ht="15.75" x14ac:dyDescent="0.25">
      <c r="A22" s="3" t="s">
        <v>82</v>
      </c>
      <c r="B22" s="32" t="s">
        <v>7</v>
      </c>
      <c r="C22" s="32">
        <v>5</v>
      </c>
      <c r="D22" s="96">
        <v>51000</v>
      </c>
      <c r="E22" s="5">
        <f t="shared" si="0"/>
        <v>31.875</v>
      </c>
      <c r="F22" t="s">
        <v>17</v>
      </c>
    </row>
    <row r="23" spans="1:6" ht="15.75" x14ac:dyDescent="0.25">
      <c r="A23" s="3" t="s">
        <v>58</v>
      </c>
      <c r="B23" s="32" t="s">
        <v>7</v>
      </c>
      <c r="C23" s="32">
        <v>3</v>
      </c>
      <c r="D23" s="96">
        <v>46000</v>
      </c>
      <c r="E23" s="5">
        <f t="shared" si="0"/>
        <v>28.75</v>
      </c>
      <c r="F23" t="s">
        <v>17</v>
      </c>
    </row>
    <row r="24" spans="1:6" ht="15.75" x14ac:dyDescent="0.25">
      <c r="A24" s="3" t="s">
        <v>107</v>
      </c>
      <c r="B24" s="32" t="s">
        <v>7</v>
      </c>
      <c r="C24" s="32">
        <v>3</v>
      </c>
      <c r="D24" s="96">
        <v>46000</v>
      </c>
      <c r="E24" s="5">
        <f t="shared" si="0"/>
        <v>28.75</v>
      </c>
      <c r="F24" t="s">
        <v>17</v>
      </c>
    </row>
    <row r="25" spans="1:6" ht="15.75" x14ac:dyDescent="0.25">
      <c r="A25" s="3" t="s">
        <v>128</v>
      </c>
      <c r="B25" s="32" t="s">
        <v>7</v>
      </c>
      <c r="C25" s="32">
        <v>3</v>
      </c>
      <c r="D25" s="96">
        <v>46000</v>
      </c>
      <c r="E25" s="5">
        <f t="shared" si="0"/>
        <v>28.75</v>
      </c>
      <c r="F25" t="s">
        <v>17</v>
      </c>
    </row>
    <row r="26" spans="1:6" ht="15.75" x14ac:dyDescent="0.25">
      <c r="A26" s="3" t="s">
        <v>127</v>
      </c>
      <c r="B26" s="32" t="s">
        <v>7</v>
      </c>
      <c r="C26" s="32">
        <v>5</v>
      </c>
      <c r="D26" s="96">
        <v>51000</v>
      </c>
      <c r="E26" s="5">
        <f t="shared" si="0"/>
        <v>31.875</v>
      </c>
      <c r="F26" t="s">
        <v>17</v>
      </c>
    </row>
    <row r="27" spans="1:6" ht="15.75" x14ac:dyDescent="0.25">
      <c r="A27" s="3"/>
      <c r="D27" s="4"/>
    </row>
    <row r="28" spans="1:6" x14ac:dyDescent="0.25">
      <c r="A28" s="21" t="s">
        <v>18</v>
      </c>
      <c r="B28" s="98"/>
      <c r="C28" s="98"/>
      <c r="D28" s="99"/>
    </row>
    <row r="29" spans="1:6" x14ac:dyDescent="0.25">
      <c r="A29" t="s">
        <v>19</v>
      </c>
      <c r="D29" s="101">
        <v>0.01</v>
      </c>
      <c r="E29" t="s">
        <v>115</v>
      </c>
    </row>
    <row r="30" spans="1:6" x14ac:dyDescent="0.25">
      <c r="A30" t="s">
        <v>20</v>
      </c>
      <c r="D30" s="101">
        <v>0.4</v>
      </c>
      <c r="E30" t="s">
        <v>116</v>
      </c>
    </row>
    <row r="31" spans="1:6" x14ac:dyDescent="0.25">
      <c r="A31" t="s">
        <v>131</v>
      </c>
      <c r="D31" s="101">
        <v>1000</v>
      </c>
      <c r="E31" t="s">
        <v>132</v>
      </c>
    </row>
    <row r="32" spans="1:6" x14ac:dyDescent="0.25">
      <c r="A32" t="s">
        <v>52</v>
      </c>
      <c r="D32" s="101">
        <v>0</v>
      </c>
      <c r="E32" t="s">
        <v>9</v>
      </c>
    </row>
    <row r="33" spans="1:5" x14ac:dyDescent="0.25">
      <c r="A33" t="s">
        <v>137</v>
      </c>
      <c r="D33" s="101">
        <v>500</v>
      </c>
      <c r="E33" t="s">
        <v>10</v>
      </c>
    </row>
    <row r="34" spans="1:5" x14ac:dyDescent="0.25">
      <c r="A34" t="s">
        <v>53</v>
      </c>
      <c r="D34" s="101">
        <v>11900</v>
      </c>
      <c r="E34" t="s">
        <v>11</v>
      </c>
    </row>
    <row r="35" spans="1:5" x14ac:dyDescent="0.25">
      <c r="A35" t="s">
        <v>54</v>
      </c>
      <c r="D35" s="101">
        <v>100</v>
      </c>
      <c r="E35" t="s">
        <v>12</v>
      </c>
    </row>
    <row r="36" spans="1:5" x14ac:dyDescent="0.25">
      <c r="A36" t="s">
        <v>55</v>
      </c>
      <c r="D36" s="101">
        <v>6000</v>
      </c>
      <c r="E36" t="s">
        <v>13</v>
      </c>
    </row>
    <row r="37" spans="1:5" x14ac:dyDescent="0.25">
      <c r="A37" t="s">
        <v>56</v>
      </c>
      <c r="D37" s="102">
        <v>6</v>
      </c>
      <c r="E37" t="s">
        <v>151</v>
      </c>
    </row>
    <row r="38" spans="1:5" x14ac:dyDescent="0.25">
      <c r="D38" s="8"/>
    </row>
    <row r="39" spans="1:5" x14ac:dyDescent="0.25">
      <c r="A39" s="100" t="s">
        <v>21</v>
      </c>
      <c r="B39" s="98"/>
      <c r="C39" s="98"/>
      <c r="D39" s="99"/>
    </row>
    <row r="40" spans="1:5" x14ac:dyDescent="0.25">
      <c r="A40" t="s">
        <v>138</v>
      </c>
      <c r="D40" s="101">
        <v>5000</v>
      </c>
      <c r="E40" t="s">
        <v>14</v>
      </c>
    </row>
    <row r="41" spans="1:5" x14ac:dyDescent="0.25">
      <c r="A41" t="s">
        <v>91</v>
      </c>
      <c r="D41" s="101">
        <v>500</v>
      </c>
      <c r="E41" t="s">
        <v>15</v>
      </c>
    </row>
    <row r="42" spans="1:5" x14ac:dyDescent="0.25">
      <c r="A42" t="s">
        <v>129</v>
      </c>
      <c r="D42" s="101">
        <v>100</v>
      </c>
      <c r="E42" t="s">
        <v>139</v>
      </c>
    </row>
    <row r="44" spans="1:5" x14ac:dyDescent="0.25">
      <c r="A44" s="100" t="s">
        <v>22</v>
      </c>
      <c r="B44" s="98"/>
      <c r="C44" s="98"/>
      <c r="D44" s="99"/>
    </row>
    <row r="45" spans="1:5" x14ac:dyDescent="0.25">
      <c r="A45" s="7" t="s">
        <v>140</v>
      </c>
      <c r="D45" s="103">
        <v>0.4</v>
      </c>
      <c r="E45" t="s">
        <v>199</v>
      </c>
    </row>
    <row r="46" spans="1:5" x14ac:dyDescent="0.25">
      <c r="A46" s="7" t="s">
        <v>92</v>
      </c>
      <c r="D46" s="103">
        <v>0.02</v>
      </c>
      <c r="E46" t="s">
        <v>200</v>
      </c>
    </row>
    <row r="47" spans="1:5" x14ac:dyDescent="0.25">
      <c r="A47" s="7" t="s">
        <v>93</v>
      </c>
      <c r="D47" s="103">
        <v>0.25</v>
      </c>
      <c r="E47" t="s">
        <v>201</v>
      </c>
    </row>
    <row r="48" spans="1:5" x14ac:dyDescent="0.25">
      <c r="A48" s="7" t="s">
        <v>94</v>
      </c>
      <c r="D48" s="9">
        <f>1-D45-D46-D47</f>
        <v>0.32999999999999996</v>
      </c>
    </row>
    <row r="49" spans="1:5" x14ac:dyDescent="0.25">
      <c r="A49" t="s">
        <v>95</v>
      </c>
      <c r="D49" s="101">
        <v>12.5</v>
      </c>
      <c r="E49" t="s">
        <v>99</v>
      </c>
    </row>
    <row r="50" spans="1:5" x14ac:dyDescent="0.25">
      <c r="A50" t="s">
        <v>96</v>
      </c>
      <c r="D50" s="101">
        <v>15</v>
      </c>
      <c r="E50" t="s">
        <v>98</v>
      </c>
    </row>
    <row r="51" spans="1:5" x14ac:dyDescent="0.25">
      <c r="A51" t="s">
        <v>97</v>
      </c>
      <c r="D51" s="101">
        <v>2.7</v>
      </c>
      <c r="E51" t="s">
        <v>141</v>
      </c>
    </row>
    <row r="52" spans="1:5" x14ac:dyDescent="0.25">
      <c r="A52" t="s">
        <v>187</v>
      </c>
      <c r="D52" s="101">
        <v>600</v>
      </c>
      <c r="E52" t="s">
        <v>191</v>
      </c>
    </row>
    <row r="53" spans="1:5" x14ac:dyDescent="0.25">
      <c r="A53" t="s">
        <v>188</v>
      </c>
      <c r="D53" s="101">
        <v>1500</v>
      </c>
      <c r="E53" t="s">
        <v>189</v>
      </c>
    </row>
  </sheetData>
  <pageMargins left="0.7" right="0.7" top="0.75" bottom="0.75" header="0.3" footer="0.3"/>
  <pageSetup paperSize="9"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view="pageBreakPreview" zoomScaleNormal="100" zoomScaleSheetLayoutView="100" workbookViewId="0">
      <selection sqref="A1:M1"/>
    </sheetView>
  </sheetViews>
  <sheetFormatPr defaultRowHeight="15" x14ac:dyDescent="0.25"/>
  <cols>
    <col min="1" max="1" width="27.28515625" customWidth="1"/>
    <col min="2" max="2" width="8" style="26" customWidth="1"/>
    <col min="3" max="3" width="16.5703125" style="26" customWidth="1"/>
    <col min="4" max="4" width="14" style="26" customWidth="1"/>
    <col min="5" max="5" width="15.28515625" style="26" customWidth="1"/>
    <col min="6" max="6" width="14.7109375" style="26" customWidth="1"/>
    <col min="7" max="8" width="10.85546875" style="26" customWidth="1"/>
    <col min="9" max="9" width="14.7109375" customWidth="1"/>
    <col min="10" max="10" width="16.140625" customWidth="1"/>
    <col min="11" max="11" width="8.5703125" customWidth="1"/>
    <col min="12" max="12" width="9.42578125" style="26" customWidth="1"/>
    <col min="13" max="13" width="11.7109375" style="26" customWidth="1"/>
  </cols>
  <sheetData>
    <row r="1" spans="1:13" x14ac:dyDescent="0.25">
      <c r="A1" s="38" t="s">
        <v>194</v>
      </c>
      <c r="B1" s="174"/>
      <c r="C1" s="174"/>
      <c r="D1" s="174"/>
      <c r="E1" s="174"/>
      <c r="F1" s="174"/>
      <c r="G1" s="174"/>
      <c r="H1" s="174"/>
      <c r="I1" s="38"/>
      <c r="J1" s="38"/>
      <c r="K1" s="38"/>
      <c r="L1" s="174"/>
      <c r="M1" s="174"/>
    </row>
    <row r="3" spans="1:13" s="33" customFormat="1" ht="38.25" x14ac:dyDescent="0.25">
      <c r="A3" s="108" t="s">
        <v>65</v>
      </c>
      <c r="B3" s="109" t="s">
        <v>172</v>
      </c>
      <c r="C3" s="110" t="s">
        <v>63</v>
      </c>
      <c r="D3" s="111" t="s">
        <v>59</v>
      </c>
      <c r="E3" s="111" t="s">
        <v>60</v>
      </c>
      <c r="F3" s="111" t="s">
        <v>61</v>
      </c>
      <c r="G3" s="111" t="s">
        <v>62</v>
      </c>
      <c r="H3" s="111" t="s">
        <v>145</v>
      </c>
      <c r="I3" s="111" t="s">
        <v>85</v>
      </c>
      <c r="J3" s="111" t="s">
        <v>144</v>
      </c>
      <c r="L3" s="86" t="s">
        <v>153</v>
      </c>
      <c r="M3" s="86" t="s">
        <v>154</v>
      </c>
    </row>
    <row r="4" spans="1:13" x14ac:dyDescent="0.25">
      <c r="A4" s="104" t="s">
        <v>169</v>
      </c>
      <c r="B4" s="105">
        <v>1</v>
      </c>
      <c r="C4" s="105">
        <v>2400</v>
      </c>
      <c r="D4" s="29">
        <f>C4*Basiskentallen!D$4</f>
        <v>240</v>
      </c>
      <c r="E4" s="29">
        <f>C4*Basiskentallen!D$10</f>
        <v>72</v>
      </c>
      <c r="F4" s="106">
        <v>12</v>
      </c>
      <c r="G4" s="106">
        <v>52</v>
      </c>
      <c r="H4" s="30">
        <f>C4*F4</f>
        <v>28800</v>
      </c>
      <c r="I4" s="25">
        <f t="shared" ref="I4:I8" si="0">D4*F4</f>
        <v>2880</v>
      </c>
      <c r="J4" s="25">
        <f t="shared" ref="J4:J8" si="1">E4*G4</f>
        <v>3744</v>
      </c>
      <c r="K4" s="85">
        <f>H4+I4+J4</f>
        <v>35424</v>
      </c>
      <c r="L4" s="87">
        <f>K4/K$18</f>
        <v>0.39108955270678042</v>
      </c>
      <c r="M4" s="87">
        <f>D4/D$18</f>
        <v>0.28619127116622944</v>
      </c>
    </row>
    <row r="5" spans="1:13" x14ac:dyDescent="0.25">
      <c r="A5" s="104" t="s">
        <v>169</v>
      </c>
      <c r="B5" s="105">
        <v>1</v>
      </c>
      <c r="C5" s="105">
        <v>720</v>
      </c>
      <c r="D5" s="29">
        <f>C5*Basiskentallen!D$4</f>
        <v>72</v>
      </c>
      <c r="E5" s="29">
        <f>C5*Basiskentallen!D$10</f>
        <v>21.599999999999998</v>
      </c>
      <c r="F5" s="106">
        <v>12</v>
      </c>
      <c r="G5" s="106">
        <v>12</v>
      </c>
      <c r="H5" s="30">
        <f t="shared" ref="H5:H8" si="2">C5*F5</f>
        <v>8640</v>
      </c>
      <c r="I5" s="25">
        <f t="shared" si="0"/>
        <v>864</v>
      </c>
      <c r="J5" s="25">
        <f t="shared" si="1"/>
        <v>259.2</v>
      </c>
      <c r="K5" s="85">
        <f t="shared" ref="K5:K18" si="3">H5+I5+J5</f>
        <v>9763.2000000000007</v>
      </c>
      <c r="L5" s="87">
        <f t="shared" ref="L5:L18" si="4">K5/K$18</f>
        <v>0.10778809623381998</v>
      </c>
      <c r="M5" s="87">
        <f t="shared" ref="M5:M16" si="5">D5/D$18</f>
        <v>8.5857381349868839E-2</v>
      </c>
    </row>
    <row r="6" spans="1:13" x14ac:dyDescent="0.25">
      <c r="A6" s="104" t="s">
        <v>169</v>
      </c>
      <c r="B6" s="105">
        <v>1</v>
      </c>
      <c r="C6" s="105">
        <v>2500</v>
      </c>
      <c r="D6" s="29">
        <f>C6*Basiskentallen!D$4</f>
        <v>250</v>
      </c>
      <c r="E6" s="29">
        <f>C6*Basiskentallen!D$10</f>
        <v>75</v>
      </c>
      <c r="F6" s="106">
        <v>12</v>
      </c>
      <c r="G6" s="106">
        <v>12</v>
      </c>
      <c r="H6" s="30">
        <f t="shared" si="2"/>
        <v>30000</v>
      </c>
      <c r="I6" s="25">
        <f t="shared" si="0"/>
        <v>3000</v>
      </c>
      <c r="J6" s="25">
        <f t="shared" si="1"/>
        <v>900</v>
      </c>
      <c r="K6" s="85">
        <f t="shared" si="3"/>
        <v>33900</v>
      </c>
      <c r="L6" s="87">
        <f t="shared" si="4"/>
        <v>0.37426422303409712</v>
      </c>
      <c r="M6" s="87">
        <f t="shared" si="5"/>
        <v>0.29811590746482236</v>
      </c>
    </row>
    <row r="7" spans="1:13" x14ac:dyDescent="0.25">
      <c r="A7" s="104" t="s">
        <v>169</v>
      </c>
      <c r="B7" s="105">
        <v>1</v>
      </c>
      <c r="C7" s="105">
        <v>200</v>
      </c>
      <c r="D7" s="29">
        <f>C7*Basiskentallen!D$4</f>
        <v>20</v>
      </c>
      <c r="E7" s="29">
        <f>C7*Basiskentallen!D$10</f>
        <v>6</v>
      </c>
      <c r="F7" s="106">
        <v>0</v>
      </c>
      <c r="G7" s="106">
        <v>0</v>
      </c>
      <c r="H7" s="30">
        <f t="shared" si="2"/>
        <v>0</v>
      </c>
      <c r="I7" s="25">
        <f t="shared" si="0"/>
        <v>0</v>
      </c>
      <c r="J7" s="25">
        <f t="shared" si="1"/>
        <v>0</v>
      </c>
      <c r="K7" s="85">
        <f t="shared" si="3"/>
        <v>0</v>
      </c>
      <c r="L7" s="87">
        <f t="shared" si="4"/>
        <v>0</v>
      </c>
      <c r="M7" s="87">
        <f t="shared" si="5"/>
        <v>2.3849272597185788E-2</v>
      </c>
    </row>
    <row r="8" spans="1:13" x14ac:dyDescent="0.25">
      <c r="A8" s="104" t="s">
        <v>169</v>
      </c>
      <c r="B8" s="105">
        <v>1</v>
      </c>
      <c r="C8" s="105">
        <v>0</v>
      </c>
      <c r="D8" s="29">
        <f>C8*Basiskentallen!D$4</f>
        <v>0</v>
      </c>
      <c r="E8" s="29">
        <f>C8*Basiskentallen!D$10</f>
        <v>0</v>
      </c>
      <c r="F8" s="106">
        <v>0</v>
      </c>
      <c r="G8" s="106">
        <v>0</v>
      </c>
      <c r="H8" s="30">
        <f t="shared" si="2"/>
        <v>0</v>
      </c>
      <c r="I8" s="25">
        <f t="shared" si="0"/>
        <v>0</v>
      </c>
      <c r="J8" s="25">
        <f t="shared" si="1"/>
        <v>0</v>
      </c>
      <c r="K8" s="85">
        <f t="shared" si="3"/>
        <v>0</v>
      </c>
      <c r="L8" s="87">
        <f t="shared" si="4"/>
        <v>0</v>
      </c>
      <c r="M8" s="87">
        <f t="shared" si="5"/>
        <v>0</v>
      </c>
    </row>
    <row r="9" spans="1:13" x14ac:dyDescent="0.25">
      <c r="A9" s="104" t="s">
        <v>169</v>
      </c>
      <c r="B9" s="105">
        <v>1</v>
      </c>
      <c r="C9" s="105">
        <v>0</v>
      </c>
      <c r="D9" s="29">
        <f>C9*Basiskentallen!D$4</f>
        <v>0</v>
      </c>
      <c r="E9" s="29">
        <f>C9*Basiskentallen!D$10</f>
        <v>0</v>
      </c>
      <c r="F9" s="106">
        <v>0</v>
      </c>
      <c r="G9" s="106">
        <v>0</v>
      </c>
      <c r="H9" s="30">
        <f t="shared" ref="H9:H13" si="6">C9*F9</f>
        <v>0</v>
      </c>
      <c r="I9" s="25">
        <f t="shared" ref="I9:I13" si="7">D9*F9</f>
        <v>0</v>
      </c>
      <c r="J9" s="25">
        <f t="shared" ref="J9:J13" si="8">E9*G9</f>
        <v>0</v>
      </c>
      <c r="K9" s="85">
        <f t="shared" si="3"/>
        <v>0</v>
      </c>
      <c r="L9" s="87">
        <f t="shared" si="4"/>
        <v>0</v>
      </c>
      <c r="M9" s="87">
        <f t="shared" si="5"/>
        <v>0</v>
      </c>
    </row>
    <row r="10" spans="1:13" x14ac:dyDescent="0.25">
      <c r="A10" s="104" t="s">
        <v>169</v>
      </c>
      <c r="B10" s="105">
        <v>1</v>
      </c>
      <c r="C10" s="105">
        <v>368</v>
      </c>
      <c r="D10" s="29">
        <f>C10*Basiskentallen!D$4</f>
        <v>36.800000000000004</v>
      </c>
      <c r="E10" s="29">
        <f>C10*Basiskentallen!D$10</f>
        <v>11.04</v>
      </c>
      <c r="F10" s="106">
        <v>2</v>
      </c>
      <c r="G10" s="106">
        <v>4</v>
      </c>
      <c r="H10" s="30">
        <f t="shared" si="6"/>
        <v>736</v>
      </c>
      <c r="I10" s="25">
        <f t="shared" si="7"/>
        <v>73.600000000000009</v>
      </c>
      <c r="J10" s="25">
        <f t="shared" si="8"/>
        <v>44.16</v>
      </c>
      <c r="K10" s="85">
        <f t="shared" si="3"/>
        <v>853.76</v>
      </c>
      <c r="L10" s="87">
        <f t="shared" si="4"/>
        <v>9.4257174943242119E-3</v>
      </c>
      <c r="M10" s="87">
        <f t="shared" si="5"/>
        <v>4.3882661578821855E-2</v>
      </c>
    </row>
    <row r="11" spans="1:13" x14ac:dyDescent="0.25">
      <c r="A11" s="104" t="s">
        <v>169</v>
      </c>
      <c r="B11" s="105">
        <v>1</v>
      </c>
      <c r="C11" s="105">
        <v>528</v>
      </c>
      <c r="D11" s="29">
        <f>C11*Basiskentallen!D$4</f>
        <v>52.800000000000004</v>
      </c>
      <c r="E11" s="29">
        <f>C11*Basiskentallen!D$10</f>
        <v>15.84</v>
      </c>
      <c r="F11" s="106">
        <v>2</v>
      </c>
      <c r="G11" s="106">
        <v>4</v>
      </c>
      <c r="H11" s="30">
        <f t="shared" si="6"/>
        <v>1056</v>
      </c>
      <c r="I11" s="25">
        <f t="shared" si="7"/>
        <v>105.60000000000001</v>
      </c>
      <c r="J11" s="25">
        <f t="shared" si="8"/>
        <v>63.36</v>
      </c>
      <c r="K11" s="85">
        <f t="shared" si="3"/>
        <v>1224.9599999999998</v>
      </c>
      <c r="L11" s="87">
        <f t="shared" si="4"/>
        <v>1.3523855535334736E-2</v>
      </c>
      <c r="M11" s="87">
        <f t="shared" si="5"/>
        <v>6.2962079656570483E-2</v>
      </c>
    </row>
    <row r="12" spans="1:13" x14ac:dyDescent="0.25">
      <c r="A12" s="104" t="s">
        <v>169</v>
      </c>
      <c r="B12" s="105">
        <v>1</v>
      </c>
      <c r="C12" s="105">
        <v>920</v>
      </c>
      <c r="D12" s="29">
        <f>C12*Basiskentallen!D$4</f>
        <v>92</v>
      </c>
      <c r="E12" s="29">
        <f>C12*Basiskentallen!D$10</f>
        <v>27.599999999999998</v>
      </c>
      <c r="F12" s="106">
        <v>8</v>
      </c>
      <c r="G12" s="106">
        <v>8</v>
      </c>
      <c r="H12" s="30">
        <f t="shared" si="6"/>
        <v>7360</v>
      </c>
      <c r="I12" s="25">
        <f t="shared" si="7"/>
        <v>736</v>
      </c>
      <c r="J12" s="25">
        <f t="shared" si="8"/>
        <v>220.79999999999998</v>
      </c>
      <c r="K12" s="85">
        <f t="shared" si="3"/>
        <v>8316.7999999999993</v>
      </c>
      <c r="L12" s="87">
        <f t="shared" si="4"/>
        <v>9.1819489384365155E-2</v>
      </c>
      <c r="M12" s="87">
        <f t="shared" si="5"/>
        <v>0.10970665394705463</v>
      </c>
    </row>
    <row r="13" spans="1:13" x14ac:dyDescent="0.25">
      <c r="A13" s="104" t="s">
        <v>169</v>
      </c>
      <c r="B13" s="105">
        <v>1</v>
      </c>
      <c r="C13" s="105">
        <v>750</v>
      </c>
      <c r="D13" s="29">
        <f>C13*Basiskentallen!D$4</f>
        <v>75</v>
      </c>
      <c r="E13" s="29">
        <f>C13*Basiskentallen!D$10</f>
        <v>22.5</v>
      </c>
      <c r="F13" s="106">
        <v>1</v>
      </c>
      <c r="G13" s="106">
        <v>12</v>
      </c>
      <c r="H13" s="30">
        <f t="shared" si="6"/>
        <v>750</v>
      </c>
      <c r="I13" s="25">
        <f t="shared" si="7"/>
        <v>75</v>
      </c>
      <c r="J13" s="25">
        <f t="shared" si="8"/>
        <v>270</v>
      </c>
      <c r="K13" s="85">
        <f t="shared" si="3"/>
        <v>1095</v>
      </c>
      <c r="L13" s="87">
        <f t="shared" si="4"/>
        <v>1.2089065611278359E-2</v>
      </c>
      <c r="M13" s="87">
        <f t="shared" si="5"/>
        <v>8.9434772239446708E-2</v>
      </c>
    </row>
    <row r="14" spans="1:13" x14ac:dyDescent="0.25">
      <c r="A14" s="104"/>
      <c r="B14" s="105"/>
      <c r="C14" s="107"/>
      <c r="D14" s="29">
        <f>C14*Basiskentallen!D$4</f>
        <v>0</v>
      </c>
      <c r="E14" s="29">
        <f>C14*Basiskentallen!D$10</f>
        <v>0</v>
      </c>
      <c r="F14" s="106"/>
      <c r="G14" s="106"/>
      <c r="H14" s="30">
        <f t="shared" ref="H14:H16" si="9">C14*F14</f>
        <v>0</v>
      </c>
      <c r="I14" s="25">
        <f t="shared" ref="I14:I16" si="10">D14*F14</f>
        <v>0</v>
      </c>
      <c r="J14" s="25">
        <f t="shared" ref="J14:J16" si="11">E14*G14</f>
        <v>0</v>
      </c>
      <c r="K14" s="85">
        <f t="shared" si="3"/>
        <v>0</v>
      </c>
      <c r="L14" s="87">
        <f t="shared" si="4"/>
        <v>0</v>
      </c>
      <c r="M14" s="87">
        <f t="shared" si="5"/>
        <v>0</v>
      </c>
    </row>
    <row r="15" spans="1:13" x14ac:dyDescent="0.25">
      <c r="A15" s="104"/>
      <c r="B15" s="105"/>
      <c r="C15" s="107"/>
      <c r="D15" s="29">
        <f>C15*Basiskentallen!D$4</f>
        <v>0</v>
      </c>
      <c r="E15" s="29">
        <f>C15*Basiskentallen!D$10</f>
        <v>0</v>
      </c>
      <c r="F15" s="106"/>
      <c r="G15" s="106"/>
      <c r="H15" s="30">
        <f t="shared" si="9"/>
        <v>0</v>
      </c>
      <c r="I15" s="25">
        <f t="shared" si="10"/>
        <v>0</v>
      </c>
      <c r="J15" s="25">
        <f t="shared" si="11"/>
        <v>0</v>
      </c>
      <c r="K15" s="85">
        <f t="shared" si="3"/>
        <v>0</v>
      </c>
      <c r="L15" s="87">
        <f t="shared" si="4"/>
        <v>0</v>
      </c>
      <c r="M15" s="87">
        <f t="shared" si="5"/>
        <v>0</v>
      </c>
    </row>
    <row r="16" spans="1:13" x14ac:dyDescent="0.25">
      <c r="A16" s="104"/>
      <c r="B16" s="105"/>
      <c r="C16" s="107"/>
      <c r="D16" s="29">
        <f>C16*Basiskentallen!D$4</f>
        <v>0</v>
      </c>
      <c r="E16" s="29">
        <f>C16*Basiskentallen!D$10</f>
        <v>0</v>
      </c>
      <c r="F16" s="106"/>
      <c r="G16" s="106"/>
      <c r="H16" s="30">
        <f t="shared" si="9"/>
        <v>0</v>
      </c>
      <c r="I16" s="25">
        <f t="shared" si="10"/>
        <v>0</v>
      </c>
      <c r="J16" s="25">
        <f t="shared" si="11"/>
        <v>0</v>
      </c>
      <c r="K16" s="85">
        <f t="shared" si="3"/>
        <v>0</v>
      </c>
      <c r="L16" s="87">
        <f t="shared" si="4"/>
        <v>0</v>
      </c>
      <c r="M16" s="87">
        <f t="shared" si="5"/>
        <v>0</v>
      </c>
    </row>
    <row r="17" spans="1:13" ht="15.75" x14ac:dyDescent="0.25">
      <c r="A17" s="2"/>
      <c r="B17" s="27"/>
      <c r="C17" s="27"/>
      <c r="E17" s="28"/>
      <c r="K17" s="85"/>
      <c r="L17" s="87"/>
    </row>
    <row r="18" spans="1:13" x14ac:dyDescent="0.25">
      <c r="A18" s="112" t="s">
        <v>64</v>
      </c>
      <c r="B18" s="113">
        <f>SUM(B4:B16)</f>
        <v>10</v>
      </c>
      <c r="C18" s="113">
        <f>SUM(C4:C16)</f>
        <v>8386</v>
      </c>
      <c r="D18" s="113">
        <f t="shared" ref="D18:J18" si="12">SUM(D4:D16)</f>
        <v>838.59999999999991</v>
      </c>
      <c r="E18" s="113">
        <f t="shared" si="12"/>
        <v>251.57999999999998</v>
      </c>
      <c r="F18" s="113">
        <f t="shared" si="12"/>
        <v>49</v>
      </c>
      <c r="G18" s="113">
        <f t="shared" si="12"/>
        <v>104</v>
      </c>
      <c r="H18" s="113">
        <f>SUM(H4:H16)</f>
        <v>77342</v>
      </c>
      <c r="I18" s="113">
        <f t="shared" si="12"/>
        <v>7734.2000000000007</v>
      </c>
      <c r="J18" s="113">
        <f t="shared" si="12"/>
        <v>5501.5199999999995</v>
      </c>
      <c r="K18" s="85">
        <f t="shared" si="3"/>
        <v>90577.72</v>
      </c>
      <c r="L18" s="87">
        <f t="shared" si="4"/>
        <v>1</v>
      </c>
      <c r="M18" s="88">
        <f>SUM(M4:M16)</f>
        <v>1.0000000000000002</v>
      </c>
    </row>
    <row r="19" spans="1:13" x14ac:dyDescent="0.25">
      <c r="I19" s="90"/>
    </row>
    <row r="20" spans="1:13" x14ac:dyDescent="0.25">
      <c r="A20" s="1" t="s">
        <v>170</v>
      </c>
    </row>
    <row r="21" spans="1:13" x14ac:dyDescent="0.25">
      <c r="A21" t="s">
        <v>173</v>
      </c>
      <c r="B21" s="92" t="s">
        <v>174</v>
      </c>
    </row>
    <row r="22" spans="1:13" x14ac:dyDescent="0.25">
      <c r="B22" s="92" t="s">
        <v>179</v>
      </c>
    </row>
    <row r="23" spans="1:13" x14ac:dyDescent="0.25">
      <c r="A23" t="s">
        <v>63</v>
      </c>
      <c r="B23" s="92" t="s">
        <v>171</v>
      </c>
    </row>
    <row r="24" spans="1:13" x14ac:dyDescent="0.25">
      <c r="A24" t="s">
        <v>175</v>
      </c>
      <c r="B24" s="92" t="s">
        <v>176</v>
      </c>
    </row>
    <row r="25" spans="1:13" x14ac:dyDescent="0.25">
      <c r="A25" t="s">
        <v>177</v>
      </c>
      <c r="B25" s="92" t="s">
        <v>178</v>
      </c>
    </row>
  </sheetData>
  <pageMargins left="0.7" right="0.7" top="0.75" bottom="0.75" header="0.3" footer="0.3"/>
  <pageSetup paperSize="9" scale="73"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9"/>
  <sheetViews>
    <sheetView view="pageBreakPreview" zoomScaleNormal="100" zoomScaleSheetLayoutView="100" workbookViewId="0">
      <selection activeCell="B10" sqref="B10"/>
    </sheetView>
  </sheetViews>
  <sheetFormatPr defaultRowHeight="15" x14ac:dyDescent="0.25"/>
  <cols>
    <col min="1" max="1" width="27.42578125" style="7" customWidth="1"/>
    <col min="2" max="2" width="14.42578125" style="149" customWidth="1"/>
    <col min="3" max="3" width="14" style="149" customWidth="1"/>
    <col min="4" max="4" width="14.42578125" style="149" customWidth="1"/>
    <col min="5" max="5" width="11.7109375" style="149" customWidth="1"/>
    <col min="6" max="6" width="12.5703125" style="149" customWidth="1"/>
    <col min="7" max="7" width="13" style="7" customWidth="1"/>
    <col min="8" max="16384" width="9.140625" style="7"/>
  </cols>
  <sheetData>
    <row r="1" spans="1:8" x14ac:dyDescent="0.25">
      <c r="A1" s="38" t="s">
        <v>66</v>
      </c>
      <c r="B1" s="127"/>
      <c r="C1" s="127"/>
      <c r="D1" s="127"/>
      <c r="E1" s="127"/>
      <c r="F1" s="127"/>
      <c r="G1" s="128"/>
      <c r="H1" s="129"/>
    </row>
    <row r="2" spans="1:8" x14ac:dyDescent="0.25">
      <c r="A2" s="130"/>
      <c r="B2" s="131"/>
      <c r="C2" s="131"/>
      <c r="D2" s="131"/>
      <c r="E2" s="131"/>
      <c r="F2" s="131"/>
      <c r="G2" s="130"/>
    </row>
    <row r="3" spans="1:8" x14ac:dyDescent="0.25">
      <c r="A3" s="34" t="s">
        <v>83</v>
      </c>
      <c r="B3" s="132"/>
      <c r="C3" s="132"/>
      <c r="D3" s="132"/>
      <c r="E3" s="132"/>
      <c r="F3" s="132"/>
      <c r="G3" s="133"/>
      <c r="H3" s="134"/>
    </row>
    <row r="4" spans="1:8" x14ac:dyDescent="0.25">
      <c r="A4" s="135" t="s">
        <v>0</v>
      </c>
      <c r="B4" s="136" t="s">
        <v>71</v>
      </c>
      <c r="C4" s="49" t="s">
        <v>70</v>
      </c>
      <c r="D4" s="49" t="s">
        <v>74</v>
      </c>
      <c r="E4" s="49" t="s">
        <v>75</v>
      </c>
      <c r="F4" s="49" t="s">
        <v>76</v>
      </c>
      <c r="G4" s="21" t="s">
        <v>77</v>
      </c>
      <c r="H4" s="137"/>
    </row>
    <row r="5" spans="1:8" x14ac:dyDescent="0.25">
      <c r="A5" s="130" t="s">
        <v>28</v>
      </c>
      <c r="B5" s="131">
        <f>Basiskentallen!D5</f>
        <v>0.48</v>
      </c>
      <c r="C5" s="138">
        <f>Parkeeraantallen!H18</f>
        <v>77342</v>
      </c>
      <c r="D5" s="138">
        <f>B5*C5</f>
        <v>37124.159999999996</v>
      </c>
      <c r="E5" s="138">
        <f>D5/60</f>
        <v>618.73599999999999</v>
      </c>
      <c r="F5" s="138">
        <f>E5/8</f>
        <v>77.341999999999999</v>
      </c>
      <c r="G5" s="139">
        <f>F5/Basiskentallen!D$20</f>
        <v>0.38671</v>
      </c>
      <c r="H5" s="7" t="s">
        <v>103</v>
      </c>
    </row>
    <row r="6" spans="1:8" x14ac:dyDescent="0.25">
      <c r="A6" s="130" t="s">
        <v>67</v>
      </c>
      <c r="B6" s="131">
        <f>Basiskentallen!D6</f>
        <v>2</v>
      </c>
      <c r="C6" s="138">
        <f>Parkeeraantallen!I18</f>
        <v>7734.2000000000007</v>
      </c>
      <c r="D6" s="138">
        <f t="shared" ref="D6" si="0">B6*C6</f>
        <v>15468.400000000001</v>
      </c>
      <c r="E6" s="138">
        <f t="shared" ref="E6" si="1">D6/60</f>
        <v>257.80666666666667</v>
      </c>
      <c r="F6" s="138">
        <f t="shared" ref="F6" si="2">E6/8</f>
        <v>32.225833333333334</v>
      </c>
      <c r="G6" s="139">
        <f>F6/Basiskentallen!D$20</f>
        <v>0.16112916666666666</v>
      </c>
      <c r="H6" s="7" t="s">
        <v>103</v>
      </c>
    </row>
    <row r="7" spans="1:8" x14ac:dyDescent="0.25">
      <c r="A7" s="6"/>
      <c r="B7" s="61"/>
      <c r="C7" s="138"/>
      <c r="D7" s="138"/>
      <c r="E7" s="138"/>
      <c r="F7" s="140" t="s">
        <v>64</v>
      </c>
      <c r="G7" s="141">
        <f>SUM(G5:G6)</f>
        <v>0.54783916666666665</v>
      </c>
      <c r="H7" s="7" t="s">
        <v>103</v>
      </c>
    </row>
    <row r="8" spans="1:8" x14ac:dyDescent="0.25">
      <c r="A8" s="130"/>
      <c r="B8" s="131"/>
      <c r="C8" s="131"/>
      <c r="D8" s="131"/>
      <c r="E8" s="131"/>
      <c r="F8" s="131"/>
      <c r="G8" s="130"/>
    </row>
    <row r="9" spans="1:8" x14ac:dyDescent="0.25">
      <c r="A9" s="21" t="s">
        <v>68</v>
      </c>
      <c r="B9" s="136" t="s">
        <v>71</v>
      </c>
      <c r="C9" s="49" t="s">
        <v>70</v>
      </c>
      <c r="D9" s="49" t="s">
        <v>74</v>
      </c>
      <c r="E9" s="49" t="s">
        <v>75</v>
      </c>
      <c r="F9" s="49" t="s">
        <v>76</v>
      </c>
      <c r="G9" s="21" t="s">
        <v>77</v>
      </c>
      <c r="H9" s="137"/>
    </row>
    <row r="10" spans="1:8" x14ac:dyDescent="0.25">
      <c r="A10" s="130" t="s">
        <v>67</v>
      </c>
      <c r="B10" s="131">
        <f>Basiskentallen!D11</f>
        <v>2</v>
      </c>
      <c r="C10" s="131"/>
      <c r="D10" s="131"/>
      <c r="E10" s="131"/>
      <c r="F10" s="131"/>
      <c r="G10" s="130"/>
    </row>
    <row r="11" spans="1:8" x14ac:dyDescent="0.25">
      <c r="A11" s="6" t="s">
        <v>64</v>
      </c>
      <c r="B11" s="61">
        <f>SUM(B10:B10)</f>
        <v>2</v>
      </c>
      <c r="C11" s="138">
        <f>Parkeeraantallen!J18</f>
        <v>5501.5199999999995</v>
      </c>
      <c r="D11" s="138">
        <f>B11*C11</f>
        <v>11003.039999999999</v>
      </c>
      <c r="E11" s="138">
        <f>D11/60</f>
        <v>183.38399999999999</v>
      </c>
      <c r="F11" s="138">
        <f>E11/8</f>
        <v>22.922999999999998</v>
      </c>
      <c r="G11" s="139">
        <f>F11/Basiskentallen!D20</f>
        <v>0.11461499999999999</v>
      </c>
      <c r="H11" s="7" t="s">
        <v>103</v>
      </c>
    </row>
    <row r="12" spans="1:8" x14ac:dyDescent="0.25">
      <c r="A12" s="6"/>
      <c r="B12" s="61"/>
      <c r="C12" s="138"/>
      <c r="D12" s="138"/>
      <c r="E12" s="138"/>
      <c r="F12" s="140" t="s">
        <v>64</v>
      </c>
      <c r="G12" s="141">
        <f>SUM(G11)</f>
        <v>0.11461499999999999</v>
      </c>
      <c r="H12" s="7" t="s">
        <v>103</v>
      </c>
    </row>
    <row r="13" spans="1:8" x14ac:dyDescent="0.25">
      <c r="A13" s="130"/>
      <c r="B13" s="131"/>
      <c r="C13" s="131"/>
      <c r="D13" s="131"/>
      <c r="E13" s="142"/>
      <c r="F13" s="131"/>
      <c r="G13" s="130"/>
    </row>
    <row r="14" spans="1:8" x14ac:dyDescent="0.25">
      <c r="A14" s="21" t="s">
        <v>78</v>
      </c>
      <c r="B14" s="137"/>
      <c r="C14" s="137"/>
      <c r="D14" s="137"/>
      <c r="E14" s="137"/>
      <c r="F14" s="137"/>
      <c r="G14" s="137"/>
      <c r="H14" s="137"/>
    </row>
    <row r="15" spans="1:8" x14ac:dyDescent="0.25">
      <c r="A15" s="130" t="s">
        <v>84</v>
      </c>
      <c r="B15" s="143">
        <v>0.2</v>
      </c>
      <c r="C15" s="131"/>
      <c r="D15" s="131"/>
      <c r="E15" s="142"/>
      <c r="F15" s="131"/>
      <c r="G15" s="139">
        <f>(G7+G12)*B15</f>
        <v>0.13249083333333334</v>
      </c>
      <c r="H15" s="7" t="s">
        <v>103</v>
      </c>
    </row>
    <row r="16" spans="1:8" x14ac:dyDescent="0.25">
      <c r="A16" s="130"/>
      <c r="B16" s="131"/>
      <c r="C16" s="131"/>
      <c r="D16" s="131"/>
      <c r="E16" s="131"/>
      <c r="F16" s="61" t="s">
        <v>64</v>
      </c>
      <c r="G16" s="141">
        <f>SUM(G15)</f>
        <v>0.13249083333333334</v>
      </c>
      <c r="H16" s="7" t="s">
        <v>103</v>
      </c>
    </row>
    <row r="17" spans="1:8" x14ac:dyDescent="0.25">
      <c r="A17" s="130"/>
      <c r="B17" s="131"/>
      <c r="C17" s="131"/>
      <c r="D17" s="131"/>
      <c r="E17" s="131"/>
      <c r="F17" s="131"/>
      <c r="G17" s="144"/>
    </row>
    <row r="18" spans="1:8" x14ac:dyDescent="0.25">
      <c r="A18" s="6" t="s">
        <v>100</v>
      </c>
      <c r="B18" s="131"/>
      <c r="C18" s="131"/>
      <c r="D18" s="139"/>
      <c r="E18" s="142"/>
      <c r="F18" s="131"/>
      <c r="G18" s="141">
        <f>G7+G12+G15</f>
        <v>0.79494500000000001</v>
      </c>
      <c r="H18" s="7" t="s">
        <v>103</v>
      </c>
    </row>
    <row r="19" spans="1:8" x14ac:dyDescent="0.25">
      <c r="A19" s="6"/>
      <c r="B19" s="131"/>
      <c r="C19" s="131"/>
      <c r="D19" s="139"/>
      <c r="E19" s="142"/>
      <c r="F19" s="131"/>
      <c r="G19" s="145"/>
    </row>
    <row r="20" spans="1:8" x14ac:dyDescent="0.25">
      <c r="A20" s="6" t="s">
        <v>101</v>
      </c>
      <c r="B20" s="131"/>
      <c r="C20" s="131"/>
      <c r="D20" s="139"/>
      <c r="E20" s="131"/>
      <c r="F20" s="131"/>
      <c r="G20" s="130"/>
    </row>
    <row r="21" spans="1:8" x14ac:dyDescent="0.25">
      <c r="A21" s="130" t="s">
        <v>8</v>
      </c>
      <c r="B21" s="146" t="s">
        <v>152</v>
      </c>
      <c r="C21" s="131"/>
      <c r="D21" s="131"/>
      <c r="E21" s="131"/>
      <c r="F21" s="131"/>
      <c r="G21" s="139">
        <f>IF((G6+G11)&lt;1,(G6+G11),1)</f>
        <v>0.27574416666666668</v>
      </c>
      <c r="H21" s="7" t="s">
        <v>103</v>
      </c>
    </row>
    <row r="22" spans="1:8" x14ac:dyDescent="0.25">
      <c r="A22" s="130" t="s">
        <v>102</v>
      </c>
      <c r="B22" s="143" t="s">
        <v>146</v>
      </c>
      <c r="C22" s="147">
        <v>0.5</v>
      </c>
      <c r="D22" s="131"/>
      <c r="E22" s="131"/>
      <c r="F22" s="131"/>
      <c r="G22" s="139">
        <f>C22*(G18-G21)</f>
        <v>0.25960041666666667</v>
      </c>
      <c r="H22" s="7" t="s">
        <v>103</v>
      </c>
    </row>
    <row r="23" spans="1:8" x14ac:dyDescent="0.25">
      <c r="A23" s="130" t="s">
        <v>6</v>
      </c>
      <c r="B23" s="131"/>
      <c r="C23" s="143"/>
      <c r="D23" s="131"/>
      <c r="E23" s="131"/>
      <c r="F23" s="131"/>
      <c r="G23" s="139">
        <f>G18-G21-G22</f>
        <v>0.25960041666666667</v>
      </c>
      <c r="H23" s="7" t="s">
        <v>103</v>
      </c>
    </row>
    <row r="24" spans="1:8" x14ac:dyDescent="0.25">
      <c r="A24" s="130"/>
      <c r="B24" s="131"/>
      <c r="C24" s="131"/>
      <c r="D24" s="131"/>
      <c r="E24" s="131"/>
      <c r="F24" s="131"/>
      <c r="G24" s="141">
        <f>G21+G22+G23</f>
        <v>0.79494500000000001</v>
      </c>
    </row>
    <row r="26" spans="1:8" x14ac:dyDescent="0.25">
      <c r="A26" s="34" t="s">
        <v>81</v>
      </c>
      <c r="B26" s="34"/>
      <c r="C26" s="34"/>
      <c r="D26" s="34"/>
      <c r="E26" s="34"/>
      <c r="F26" s="34"/>
      <c r="G26" s="34"/>
      <c r="H26" s="134"/>
    </row>
    <row r="28" spans="1:8" x14ac:dyDescent="0.25">
      <c r="A28" s="100" t="s">
        <v>112</v>
      </c>
      <c r="B28" s="148" t="s">
        <v>113</v>
      </c>
      <c r="C28" s="148" t="s">
        <v>70</v>
      </c>
      <c r="D28" s="49" t="s">
        <v>74</v>
      </c>
      <c r="E28" s="49" t="s">
        <v>75</v>
      </c>
      <c r="F28" s="49" t="s">
        <v>76</v>
      </c>
      <c r="G28" s="21" t="s">
        <v>77</v>
      </c>
      <c r="H28" s="137"/>
    </row>
    <row r="29" spans="1:8" x14ac:dyDescent="0.25">
      <c r="A29" s="7" t="s">
        <v>106</v>
      </c>
      <c r="B29" s="149">
        <f>Basiskentallen!D15</f>
        <v>9.6</v>
      </c>
      <c r="C29" s="150">
        <f>Parkeeraantallen!I18+Parkeeraantallen!J18</f>
        <v>13235.720000000001</v>
      </c>
      <c r="D29" s="138">
        <f>B29*C29</f>
        <v>127062.91200000001</v>
      </c>
      <c r="E29" s="138">
        <f>D29/60</f>
        <v>2117.7152000000001</v>
      </c>
      <c r="F29" s="138">
        <f>E29/8</f>
        <v>264.71440000000001</v>
      </c>
      <c r="G29" s="151">
        <f>F29/Basiskentallen!D20</f>
        <v>1.323572</v>
      </c>
      <c r="H29" s="7" t="s">
        <v>103</v>
      </c>
    </row>
    <row r="30" spans="1:8" x14ac:dyDescent="0.25">
      <c r="A30" s="7" t="s">
        <v>3</v>
      </c>
      <c r="C30" s="150"/>
      <c r="D30" s="138"/>
      <c r="E30" s="138"/>
      <c r="F30" s="138"/>
      <c r="G30" s="151">
        <f>IF(G29&lt;1,G29,1)</f>
        <v>1</v>
      </c>
      <c r="H30" s="7" t="s">
        <v>103</v>
      </c>
    </row>
    <row r="31" spans="1:8" x14ac:dyDescent="0.25">
      <c r="F31" s="152" t="s">
        <v>64</v>
      </c>
      <c r="G31" s="153">
        <f>SUM(G29+G30)</f>
        <v>2.323572</v>
      </c>
      <c r="H31" s="7" t="s">
        <v>103</v>
      </c>
    </row>
    <row r="34" spans="1:8" x14ac:dyDescent="0.25">
      <c r="A34" s="34" t="s">
        <v>120</v>
      </c>
      <c r="B34" s="34"/>
      <c r="C34" s="34"/>
      <c r="D34" s="34"/>
      <c r="E34" s="34"/>
      <c r="F34" s="34"/>
      <c r="G34" s="34"/>
      <c r="H34" s="134"/>
    </row>
    <row r="36" spans="1:8" x14ac:dyDescent="0.25">
      <c r="A36" s="100" t="s">
        <v>112</v>
      </c>
      <c r="B36" s="148" t="s">
        <v>113</v>
      </c>
      <c r="C36" s="148" t="s">
        <v>70</v>
      </c>
      <c r="D36" s="49" t="s">
        <v>74</v>
      </c>
      <c r="E36" s="49" t="s">
        <v>75</v>
      </c>
      <c r="F36" s="49" t="s">
        <v>76</v>
      </c>
      <c r="G36" s="21" t="s">
        <v>77</v>
      </c>
      <c r="H36" s="137"/>
    </row>
    <row r="37" spans="1:8" x14ac:dyDescent="0.25">
      <c r="A37" s="7" t="s">
        <v>123</v>
      </c>
      <c r="B37" s="149">
        <f>Basiskentallen!D16</f>
        <v>9.6</v>
      </c>
      <c r="C37" s="150">
        <f>Parkeeraantallen!I18+Parkeeraantallen!J18</f>
        <v>13235.720000000001</v>
      </c>
      <c r="D37" s="138">
        <f>B37*C37</f>
        <v>127062.91200000001</v>
      </c>
      <c r="E37" s="138">
        <f>D37/60</f>
        <v>2117.7152000000001</v>
      </c>
      <c r="F37" s="138">
        <f>E37/8</f>
        <v>264.71440000000001</v>
      </c>
      <c r="G37" s="151">
        <f>F37/Basiskentallen!D20</f>
        <v>1.323572</v>
      </c>
      <c r="H37" s="7" t="s">
        <v>103</v>
      </c>
    </row>
    <row r="38" spans="1:8" x14ac:dyDescent="0.25">
      <c r="A38" s="7" t="s">
        <v>124</v>
      </c>
      <c r="C38" s="150"/>
      <c r="D38" s="138"/>
      <c r="E38" s="138"/>
      <c r="F38" s="138"/>
      <c r="G38" s="151">
        <f>Basiskentallen!D17</f>
        <v>0.5</v>
      </c>
      <c r="H38" s="7" t="s">
        <v>103</v>
      </c>
    </row>
    <row r="39" spans="1:8" x14ac:dyDescent="0.25">
      <c r="F39" s="152"/>
      <c r="G39" s="153"/>
    </row>
  </sheetData>
  <pageMargins left="0.7" right="0.7" top="0.75" bottom="0.75" header="0.3" footer="0.3"/>
  <pageSetup paperSize="9" scale="88"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view="pageBreakPreview" zoomScale="90" zoomScaleNormal="90" zoomScaleSheetLayoutView="90" workbookViewId="0"/>
  </sheetViews>
  <sheetFormatPr defaultRowHeight="15" x14ac:dyDescent="0.25"/>
  <cols>
    <col min="1" max="1" width="13.85546875" customWidth="1"/>
    <col min="2" max="2" width="34.140625" customWidth="1"/>
    <col min="3" max="3" width="22.140625" customWidth="1"/>
    <col min="4" max="4" width="11.5703125" style="26" customWidth="1"/>
    <col min="5" max="5" width="20.140625" style="26" customWidth="1"/>
    <col min="6" max="6" width="15.42578125" customWidth="1"/>
    <col min="7" max="7" width="18.85546875" style="26" customWidth="1"/>
    <col min="8" max="8" width="18" customWidth="1"/>
    <col min="9" max="9" width="19.7109375" customWidth="1"/>
    <col min="10" max="10" width="27.7109375" customWidth="1"/>
  </cols>
  <sheetData>
    <row r="1" spans="1:10" x14ac:dyDescent="0.25">
      <c r="A1" s="175" t="s">
        <v>79</v>
      </c>
      <c r="B1" s="176"/>
      <c r="C1" s="176"/>
      <c r="D1" s="177"/>
      <c r="E1" s="177"/>
      <c r="F1" s="176"/>
      <c r="G1" s="177"/>
      <c r="H1" s="176"/>
      <c r="I1" s="176"/>
      <c r="J1" s="178"/>
    </row>
    <row r="2" spans="1:10" x14ac:dyDescent="0.25">
      <c r="A2" s="15"/>
      <c r="B2" s="2"/>
      <c r="C2" s="2"/>
      <c r="D2" s="27"/>
      <c r="E2" s="27"/>
      <c r="F2" s="2"/>
      <c r="G2" s="27"/>
      <c r="H2" s="2"/>
      <c r="I2" s="2"/>
      <c r="J2" s="11"/>
    </row>
    <row r="3" spans="1:10" x14ac:dyDescent="0.25">
      <c r="A3" s="12" t="s">
        <v>23</v>
      </c>
      <c r="B3" s="13" t="s">
        <v>24</v>
      </c>
      <c r="C3" s="14"/>
      <c r="D3" s="47" t="s">
        <v>69</v>
      </c>
      <c r="E3" s="41" t="s">
        <v>86</v>
      </c>
      <c r="F3" s="13" t="s">
        <v>25</v>
      </c>
      <c r="G3" s="43" t="s">
        <v>109</v>
      </c>
      <c r="H3" s="63" t="s">
        <v>108</v>
      </c>
      <c r="I3" s="63" t="s">
        <v>87</v>
      </c>
      <c r="J3" s="64" t="s">
        <v>27</v>
      </c>
    </row>
    <row r="4" spans="1:10" x14ac:dyDescent="0.25">
      <c r="A4" s="15" t="s">
        <v>88</v>
      </c>
      <c r="B4" s="2" t="s">
        <v>19</v>
      </c>
      <c r="C4" s="2"/>
      <c r="D4" s="55">
        <f>Parkeeraantallen!H18</f>
        <v>77342</v>
      </c>
      <c r="E4" s="52">
        <f>Basiskentallen!D29</f>
        <v>0.01</v>
      </c>
      <c r="F4" s="16" t="s">
        <v>29</v>
      </c>
      <c r="G4" s="44"/>
      <c r="H4" s="65"/>
      <c r="I4" s="66">
        <f>D4*E4</f>
        <v>773.42000000000007</v>
      </c>
      <c r="J4" s="67">
        <f>12*H4+I4</f>
        <v>773.42000000000007</v>
      </c>
    </row>
    <row r="5" spans="1:10" x14ac:dyDescent="0.25">
      <c r="A5" s="15"/>
      <c r="B5" s="2" t="s">
        <v>20</v>
      </c>
      <c r="C5" s="2"/>
      <c r="D5" s="55">
        <f>Parkeeraantallen!I18+Parkeeraantallen!J18</f>
        <v>13235.720000000001</v>
      </c>
      <c r="E5" s="52">
        <f>Basiskentallen!D30</f>
        <v>0.4</v>
      </c>
      <c r="F5" s="16" t="s">
        <v>30</v>
      </c>
      <c r="G5" s="44"/>
      <c r="H5" s="65"/>
      <c r="I5" s="66">
        <f>D5*E5</f>
        <v>5294.2880000000005</v>
      </c>
      <c r="J5" s="67">
        <f>12*H5+I5</f>
        <v>5294.2880000000005</v>
      </c>
    </row>
    <row r="6" spans="1:10" x14ac:dyDescent="0.25">
      <c r="A6" s="15"/>
      <c r="B6" s="2" t="s">
        <v>80</v>
      </c>
      <c r="C6" s="2" t="s">
        <v>8</v>
      </c>
      <c r="D6" s="48">
        <f>Hulptabel!G21</f>
        <v>0.27574416666666668</v>
      </c>
      <c r="E6" s="52">
        <f>Basiskentallen!D21</f>
        <v>53000</v>
      </c>
      <c r="F6" s="16" t="s">
        <v>105</v>
      </c>
      <c r="G6" s="44"/>
      <c r="H6" s="65"/>
      <c r="I6" s="66">
        <f>D6*E6</f>
        <v>14614.440833333334</v>
      </c>
      <c r="J6" s="67">
        <f>12*H6+I6</f>
        <v>14614.440833333334</v>
      </c>
    </row>
    <row r="7" spans="1:10" x14ac:dyDescent="0.25">
      <c r="A7" s="15"/>
      <c r="B7" s="2"/>
      <c r="C7" s="2" t="s">
        <v>104</v>
      </c>
      <c r="D7" s="48">
        <f>Hulptabel!G22</f>
        <v>0.25960041666666667</v>
      </c>
      <c r="E7" s="52">
        <f>Basiskentallen!D22</f>
        <v>51000</v>
      </c>
      <c r="F7" s="16" t="s">
        <v>105</v>
      </c>
      <c r="G7" s="44"/>
      <c r="H7" s="65"/>
      <c r="I7" s="66">
        <f>D7*E7</f>
        <v>13239.62125</v>
      </c>
      <c r="J7" s="67">
        <f>12*H7+I7</f>
        <v>13239.62125</v>
      </c>
    </row>
    <row r="8" spans="1:10" x14ac:dyDescent="0.25">
      <c r="A8" s="15"/>
      <c r="B8" s="2"/>
      <c r="C8" s="2" t="s">
        <v>6</v>
      </c>
      <c r="D8" s="48">
        <f>Hulptabel!G23</f>
        <v>0.25960041666666667</v>
      </c>
      <c r="E8" s="52">
        <f>Basiskentallen!D23</f>
        <v>46000</v>
      </c>
      <c r="F8" s="19" t="s">
        <v>105</v>
      </c>
      <c r="G8" s="44"/>
      <c r="H8" s="65"/>
      <c r="I8" s="66">
        <f>D8*E8</f>
        <v>11941.619166666667</v>
      </c>
      <c r="J8" s="67">
        <f>12*H8+I8</f>
        <v>11941.619166666667</v>
      </c>
    </row>
    <row r="9" spans="1:10" x14ac:dyDescent="0.25">
      <c r="A9" s="15"/>
      <c r="B9" s="2"/>
      <c r="C9" s="2"/>
      <c r="D9" s="48"/>
      <c r="E9" s="52"/>
      <c r="F9" s="2"/>
      <c r="G9" s="44"/>
      <c r="H9" s="65"/>
      <c r="I9" s="66"/>
      <c r="J9" s="67"/>
    </row>
    <row r="10" spans="1:10" x14ac:dyDescent="0.25">
      <c r="A10" s="15" t="s">
        <v>31</v>
      </c>
      <c r="B10" s="2" t="s">
        <v>32</v>
      </c>
      <c r="C10" s="2"/>
      <c r="D10" s="27"/>
      <c r="E10" s="52"/>
      <c r="F10" s="2"/>
      <c r="G10" s="45">
        <f>Basiskentallen!D31</f>
        <v>1000</v>
      </c>
      <c r="H10" s="65"/>
      <c r="I10" s="66"/>
      <c r="J10" s="67"/>
    </row>
    <row r="11" spans="1:10" x14ac:dyDescent="0.25">
      <c r="A11" s="15"/>
      <c r="B11" s="2" t="s">
        <v>81</v>
      </c>
      <c r="C11" s="3" t="s">
        <v>114</v>
      </c>
      <c r="D11" s="48">
        <f>Hulptabel!G29</f>
        <v>1.323572</v>
      </c>
      <c r="E11" s="52">
        <f>Basiskentallen!D24</f>
        <v>46000</v>
      </c>
      <c r="F11" s="16" t="s">
        <v>105</v>
      </c>
      <c r="G11" s="44"/>
      <c r="H11" s="65"/>
      <c r="I11" s="66">
        <f>D11*E11</f>
        <v>60884.311999999998</v>
      </c>
      <c r="J11" s="67">
        <f>12*H11+I11</f>
        <v>60884.311999999998</v>
      </c>
    </row>
    <row r="12" spans="1:10" x14ac:dyDescent="0.25">
      <c r="A12" s="15"/>
      <c r="B12" s="2" t="s">
        <v>143</v>
      </c>
      <c r="C12" s="3" t="s">
        <v>8</v>
      </c>
      <c r="D12" s="48">
        <f>Hulptabel!G30</f>
        <v>1</v>
      </c>
      <c r="E12" s="52">
        <f>Basiskentallen!D21</f>
        <v>53000</v>
      </c>
      <c r="F12" s="16" t="s">
        <v>105</v>
      </c>
      <c r="G12" s="44"/>
      <c r="H12" s="65"/>
      <c r="I12" s="66">
        <f>D12*E12</f>
        <v>53000</v>
      </c>
      <c r="J12" s="67">
        <f>12*H12+I12</f>
        <v>53000</v>
      </c>
    </row>
    <row r="13" spans="1:10" x14ac:dyDescent="0.25">
      <c r="A13" s="15"/>
      <c r="B13" s="2"/>
      <c r="C13" s="2"/>
      <c r="D13" s="27"/>
      <c r="E13" s="52"/>
      <c r="F13" s="16"/>
      <c r="G13" s="44"/>
      <c r="H13" s="65"/>
      <c r="I13" s="66"/>
      <c r="J13" s="67"/>
    </row>
    <row r="14" spans="1:10" x14ac:dyDescent="0.25">
      <c r="A14" s="15" t="s">
        <v>89</v>
      </c>
      <c r="B14" s="2" t="s">
        <v>119</v>
      </c>
      <c r="C14" s="2"/>
      <c r="D14" s="27"/>
      <c r="E14" s="52"/>
      <c r="F14" s="16" t="s">
        <v>33</v>
      </c>
      <c r="G14" s="45">
        <f>Basiskentallen!D32</f>
        <v>0</v>
      </c>
      <c r="H14" s="66">
        <f>Basiskentallen!D33</f>
        <v>500</v>
      </c>
      <c r="I14" s="66"/>
      <c r="J14" s="67">
        <f>12*H14+I14</f>
        <v>6000</v>
      </c>
    </row>
    <row r="15" spans="1:10" x14ac:dyDescent="0.25">
      <c r="A15" s="15"/>
      <c r="B15" s="2" t="s">
        <v>34</v>
      </c>
      <c r="C15" s="2"/>
      <c r="D15" s="27"/>
      <c r="E15" s="56"/>
      <c r="F15" s="19" t="s">
        <v>35</v>
      </c>
      <c r="G15" s="45">
        <f>Basiskentallen!D34</f>
        <v>11900</v>
      </c>
      <c r="H15" s="66">
        <f>Basiskentallen!D35</f>
        <v>100</v>
      </c>
      <c r="I15" s="66"/>
      <c r="J15" s="67">
        <f>12*H15+I15</f>
        <v>1200</v>
      </c>
    </row>
    <row r="16" spans="1:10" x14ac:dyDescent="0.25">
      <c r="A16" s="15"/>
      <c r="B16" s="2" t="s">
        <v>125</v>
      </c>
      <c r="C16" s="2"/>
      <c r="D16" s="48">
        <f>Hulptabel!G37</f>
        <v>1.323572</v>
      </c>
      <c r="E16" s="52">
        <f>Basiskentallen!D25</f>
        <v>46000</v>
      </c>
      <c r="F16" s="16" t="s">
        <v>105</v>
      </c>
      <c r="G16" s="44"/>
      <c r="H16" s="65"/>
      <c r="I16" s="66">
        <f>D16*E16</f>
        <v>60884.311999999998</v>
      </c>
      <c r="J16" s="67">
        <f>12*H16+I16</f>
        <v>60884.311999999998</v>
      </c>
    </row>
    <row r="17" spans="1:10" x14ac:dyDescent="0.25">
      <c r="A17" s="15"/>
      <c r="B17" s="2" t="s">
        <v>149</v>
      </c>
      <c r="C17" s="2"/>
      <c r="D17" s="48">
        <f>Hulptabel!G38</f>
        <v>0.5</v>
      </c>
      <c r="E17" s="52">
        <f>Basiskentallen!D26</f>
        <v>51000</v>
      </c>
      <c r="F17" s="16" t="s">
        <v>105</v>
      </c>
      <c r="G17" s="44"/>
      <c r="H17" s="65"/>
      <c r="I17" s="66">
        <f>D17*E17</f>
        <v>25500</v>
      </c>
      <c r="J17" s="67">
        <f>12*H17+I17</f>
        <v>25500</v>
      </c>
    </row>
    <row r="18" spans="1:10" x14ac:dyDescent="0.25">
      <c r="A18" s="15"/>
      <c r="B18" s="3" t="s">
        <v>36</v>
      </c>
      <c r="C18" s="2"/>
      <c r="D18" s="27"/>
      <c r="E18" s="52"/>
      <c r="F18" s="16" t="s">
        <v>40</v>
      </c>
      <c r="G18" s="45">
        <f>Basiskentallen!D36</f>
        <v>6000</v>
      </c>
      <c r="H18" s="65"/>
      <c r="I18" s="66"/>
      <c r="J18" s="67"/>
    </row>
    <row r="19" spans="1:10" x14ac:dyDescent="0.25">
      <c r="A19" s="15"/>
      <c r="B19" s="2"/>
      <c r="C19" s="2"/>
      <c r="D19" s="27"/>
      <c r="E19" s="52"/>
      <c r="F19" s="2"/>
      <c r="G19" s="44"/>
      <c r="H19" s="65"/>
      <c r="I19" s="66"/>
      <c r="J19" s="67"/>
    </row>
    <row r="20" spans="1:10" x14ac:dyDescent="0.25">
      <c r="A20" s="15" t="s">
        <v>37</v>
      </c>
      <c r="B20" s="2" t="s">
        <v>38</v>
      </c>
      <c r="C20" s="2"/>
      <c r="D20" s="27"/>
      <c r="E20" s="52">
        <f>Basiskentallen!D40</f>
        <v>5000</v>
      </c>
      <c r="F20" s="2"/>
      <c r="G20" s="45">
        <f>E20</f>
        <v>5000</v>
      </c>
      <c r="H20" s="65"/>
      <c r="I20" s="66"/>
      <c r="J20" s="67"/>
    </row>
    <row r="21" spans="1:10" x14ac:dyDescent="0.25">
      <c r="A21" s="15"/>
      <c r="B21" s="3" t="s">
        <v>39</v>
      </c>
      <c r="C21" s="2"/>
      <c r="D21" s="55">
        <f>Parkeeraantallen!B18</f>
        <v>10</v>
      </c>
      <c r="E21" s="52">
        <f>Basiskentallen!D41</f>
        <v>500</v>
      </c>
      <c r="F21" s="16" t="s">
        <v>40</v>
      </c>
      <c r="G21" s="45">
        <f>D21*E21</f>
        <v>5000</v>
      </c>
      <c r="H21" s="65"/>
      <c r="I21" s="66"/>
      <c r="J21" s="67"/>
    </row>
    <row r="22" spans="1:10" x14ac:dyDescent="0.25">
      <c r="A22" s="15"/>
      <c r="B22" s="3" t="s">
        <v>130</v>
      </c>
      <c r="C22" s="2"/>
      <c r="D22" s="27"/>
      <c r="E22" s="54"/>
      <c r="F22" s="16"/>
      <c r="G22" s="44"/>
      <c r="H22" s="66">
        <f>Basiskentallen!D42</f>
        <v>100</v>
      </c>
      <c r="I22" s="66"/>
      <c r="J22" s="67">
        <f>12*H22+I22</f>
        <v>1200</v>
      </c>
    </row>
    <row r="23" spans="1:10" x14ac:dyDescent="0.25">
      <c r="A23" s="10"/>
      <c r="B23" s="3"/>
      <c r="C23" s="2"/>
      <c r="D23" s="27"/>
      <c r="E23" s="53"/>
      <c r="F23" s="16"/>
      <c r="G23" s="44"/>
      <c r="H23" s="66"/>
      <c r="I23" s="66"/>
      <c r="J23" s="67"/>
    </row>
    <row r="24" spans="1:10" x14ac:dyDescent="0.25">
      <c r="A24" s="20" t="s">
        <v>41</v>
      </c>
      <c r="B24" s="21"/>
      <c r="C24" s="21"/>
      <c r="D24" s="49"/>
      <c r="E24" s="40"/>
      <c r="F24" s="21"/>
      <c r="G24" s="46">
        <f>SUM(G4:G22)</f>
        <v>28900</v>
      </c>
      <c r="H24" s="68">
        <f>SUM(H4:H22)</f>
        <v>700</v>
      </c>
      <c r="I24" s="68">
        <f>SUM(I4:I20)</f>
        <v>246132.01325000002</v>
      </c>
      <c r="J24" s="69">
        <f>SUM(J4:J23)</f>
        <v>254532.01325000002</v>
      </c>
    </row>
    <row r="25" spans="1:10" ht="15.75" thickBot="1" x14ac:dyDescent="0.3">
      <c r="A25" s="10"/>
      <c r="B25" s="2"/>
      <c r="C25" s="2"/>
      <c r="D25" s="27"/>
      <c r="E25" s="53"/>
      <c r="F25" s="2"/>
      <c r="G25" s="27"/>
      <c r="H25" s="2"/>
      <c r="I25" s="18"/>
      <c r="J25" s="11"/>
    </row>
    <row r="26" spans="1:10" x14ac:dyDescent="0.25">
      <c r="A26" s="78" t="s">
        <v>135</v>
      </c>
      <c r="B26" s="79"/>
      <c r="C26" s="79"/>
      <c r="D26" s="80"/>
      <c r="E26" s="81" t="s">
        <v>43</v>
      </c>
      <c r="F26" s="79"/>
      <c r="G26" s="82" t="s">
        <v>26</v>
      </c>
      <c r="H26" s="80"/>
      <c r="I26" s="83" t="s">
        <v>42</v>
      </c>
      <c r="J26" s="115" t="s">
        <v>186</v>
      </c>
    </row>
    <row r="27" spans="1:10" x14ac:dyDescent="0.25">
      <c r="A27" s="10" t="s">
        <v>133</v>
      </c>
      <c r="B27" s="2"/>
      <c r="C27" s="57">
        <f>Basiskentallen!D46</f>
        <v>0.02</v>
      </c>
      <c r="D27" s="84">
        <f>C27*Parkeeraantallen!I18</f>
        <v>154.68400000000003</v>
      </c>
      <c r="E27" s="52">
        <f>Basiskentallen!D49</f>
        <v>12.5</v>
      </c>
      <c r="F27" s="16" t="s">
        <v>44</v>
      </c>
      <c r="G27" s="44"/>
      <c r="H27" s="65"/>
      <c r="I27" s="66">
        <f>D27*E27</f>
        <v>1933.5500000000004</v>
      </c>
      <c r="J27" s="67">
        <f>I27</f>
        <v>1933.5500000000004</v>
      </c>
    </row>
    <row r="28" spans="1:10" x14ac:dyDescent="0.25">
      <c r="A28" s="10" t="s">
        <v>134</v>
      </c>
      <c r="B28" s="2"/>
      <c r="C28" s="57">
        <f>Basiskentallen!D45</f>
        <v>0.4</v>
      </c>
      <c r="D28" s="84">
        <f>C28*Parkeeraantallen!J18</f>
        <v>2200.6079999999997</v>
      </c>
      <c r="E28" s="52">
        <f>Basiskentallen!D49</f>
        <v>12.5</v>
      </c>
      <c r="F28" s="16"/>
      <c r="G28" s="44"/>
      <c r="H28" s="65"/>
      <c r="I28" s="66">
        <f>D28*E28</f>
        <v>27507.599999999995</v>
      </c>
      <c r="J28" s="67">
        <f>I28</f>
        <v>27507.599999999995</v>
      </c>
    </row>
    <row r="29" spans="1:10" x14ac:dyDescent="0.25">
      <c r="A29" s="10" t="s">
        <v>45</v>
      </c>
      <c r="B29" s="2" t="s">
        <v>46</v>
      </c>
      <c r="C29" s="57">
        <f>Basiskentallen!D47</f>
        <v>0.25</v>
      </c>
      <c r="D29" s="84">
        <f>C29*(Parkeeraantallen!I18+Parkeeraantallen!J18)</f>
        <v>3308.9300000000003</v>
      </c>
      <c r="E29" s="53">
        <f>Basiskentallen!D50</f>
        <v>15</v>
      </c>
      <c r="F29" s="16" t="s">
        <v>44</v>
      </c>
      <c r="G29" s="44"/>
      <c r="H29" s="65"/>
      <c r="I29" s="66">
        <f>D29*E29</f>
        <v>49633.950000000004</v>
      </c>
      <c r="J29" s="67">
        <f>I29</f>
        <v>49633.950000000004</v>
      </c>
    </row>
    <row r="30" spans="1:10" x14ac:dyDescent="0.25">
      <c r="A30" s="10" t="s">
        <v>90</v>
      </c>
      <c r="B30" s="2"/>
      <c r="C30" s="50"/>
      <c r="D30" s="55">
        <f>Parkeeraantallen!I18+Parkeeraantallen!J18-(Basisbegroting!D27+Basisbegroting!D28+Basisbegroting!D29)</f>
        <v>7571.4980000000014</v>
      </c>
      <c r="E30" s="53">
        <f>Basiskentallen!D51</f>
        <v>2.7</v>
      </c>
      <c r="F30" s="16" t="s">
        <v>44</v>
      </c>
      <c r="G30" s="44"/>
      <c r="H30" s="65"/>
      <c r="I30" s="66">
        <f>D30*E30</f>
        <v>20443.044600000005</v>
      </c>
      <c r="J30" s="67">
        <f>I30</f>
        <v>20443.044600000005</v>
      </c>
    </row>
    <row r="31" spans="1:10" x14ac:dyDescent="0.25">
      <c r="A31" s="20" t="s">
        <v>50</v>
      </c>
      <c r="B31" s="21"/>
      <c r="C31" s="21"/>
      <c r="D31" s="89">
        <f>SUM(D27:D30)</f>
        <v>13235.720000000001</v>
      </c>
      <c r="E31" s="49"/>
      <c r="F31" s="17"/>
      <c r="G31" s="46"/>
      <c r="H31" s="70"/>
      <c r="I31" s="68">
        <f>SUM(I27:I30)</f>
        <v>99518.144600000014</v>
      </c>
      <c r="J31" s="69">
        <f>SUM(J27:J30)</f>
        <v>99518.144600000014</v>
      </c>
    </row>
    <row r="32" spans="1:10" x14ac:dyDescent="0.25">
      <c r="A32" s="60"/>
      <c r="B32" s="6"/>
      <c r="C32" s="6"/>
      <c r="D32" s="61"/>
      <c r="E32" s="61"/>
      <c r="F32" s="3"/>
      <c r="G32" s="62"/>
      <c r="H32" s="71"/>
      <c r="I32" s="72"/>
      <c r="J32" s="73"/>
    </row>
    <row r="33" spans="1:10" x14ac:dyDescent="0.25">
      <c r="A33" s="10" t="s">
        <v>117</v>
      </c>
      <c r="B33" s="2"/>
      <c r="C33" s="51" t="s">
        <v>48</v>
      </c>
      <c r="D33" s="55">
        <f>Parkeeraantallen!D18</f>
        <v>838.59999999999991</v>
      </c>
      <c r="E33" s="53">
        <f>Basiskentallen!D52</f>
        <v>600</v>
      </c>
      <c r="F33" s="19" t="s">
        <v>44</v>
      </c>
      <c r="G33" s="58">
        <f>D33*E33</f>
        <v>503159.99999999994</v>
      </c>
      <c r="H33" s="71"/>
      <c r="I33" s="74"/>
      <c r="J33" s="75"/>
    </row>
    <row r="34" spans="1:10" x14ac:dyDescent="0.25">
      <c r="A34" s="10"/>
      <c r="B34" s="2"/>
      <c r="C34" s="51" t="s">
        <v>47</v>
      </c>
      <c r="D34" s="27"/>
      <c r="E34" s="53"/>
      <c r="F34" s="19"/>
      <c r="G34" s="44"/>
      <c r="H34" s="71"/>
      <c r="I34" s="74"/>
      <c r="J34" s="75"/>
    </row>
    <row r="35" spans="1:10" x14ac:dyDescent="0.25">
      <c r="A35" s="10"/>
      <c r="B35" s="2"/>
      <c r="C35" s="51" t="s">
        <v>49</v>
      </c>
      <c r="D35" s="55">
        <f>Parkeeraantallen!D18</f>
        <v>838.59999999999991</v>
      </c>
      <c r="E35" s="53">
        <f>Basiskentallen!D53</f>
        <v>1500</v>
      </c>
      <c r="F35" s="19" t="s">
        <v>44</v>
      </c>
      <c r="G35" s="58">
        <f>D35*E35</f>
        <v>1257899.9999999998</v>
      </c>
      <c r="H35" s="71"/>
      <c r="I35" s="74"/>
      <c r="J35" s="75"/>
    </row>
    <row r="36" spans="1:10" x14ac:dyDescent="0.25">
      <c r="A36" s="20" t="s">
        <v>118</v>
      </c>
      <c r="B36" s="21"/>
      <c r="C36" s="21"/>
      <c r="D36" s="49"/>
      <c r="E36" s="49"/>
      <c r="F36" s="22" t="s">
        <v>51</v>
      </c>
      <c r="G36" s="59">
        <f>(G33+G35)/2</f>
        <v>880529.99999999988</v>
      </c>
      <c r="H36" s="21"/>
      <c r="I36" s="21"/>
      <c r="J36" s="91"/>
    </row>
    <row r="37" spans="1:10" ht="15.75" thickBot="1" x14ac:dyDescent="0.3">
      <c r="A37" s="23"/>
      <c r="B37" s="24"/>
      <c r="C37" s="24"/>
      <c r="D37" s="42"/>
      <c r="E37" s="42"/>
      <c r="F37" s="24"/>
      <c r="G37" s="42"/>
      <c r="H37" s="42"/>
      <c r="I37" s="76"/>
      <c r="J37" s="77"/>
    </row>
    <row r="38" spans="1:10" x14ac:dyDescent="0.25">
      <c r="A38" s="2"/>
      <c r="B38" s="2"/>
      <c r="C38" s="2"/>
      <c r="D38" s="27"/>
      <c r="E38" s="27"/>
      <c r="F38" s="2"/>
      <c r="G38" s="27"/>
      <c r="H38" s="2"/>
      <c r="I38" s="2"/>
      <c r="J38" s="2"/>
    </row>
  </sheetData>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view="pageBreakPreview" zoomScaleNormal="100" zoomScaleSheetLayoutView="100" workbookViewId="0"/>
  </sheetViews>
  <sheetFormatPr defaultColWidth="29.28515625" defaultRowHeight="15" x14ac:dyDescent="0.25"/>
  <cols>
    <col min="1" max="1" width="29.28515625" style="7"/>
    <col min="2" max="2" width="29.28515625" style="149"/>
    <col min="3" max="5" width="29.28515625" style="7"/>
    <col min="6" max="6" width="32.28515625" style="7" customWidth="1"/>
    <col min="7" max="16384" width="29.28515625" style="7"/>
  </cols>
  <sheetData>
    <row r="1" spans="1:6" x14ac:dyDescent="0.25">
      <c r="A1" s="38" t="s">
        <v>195</v>
      </c>
      <c r="B1" s="174"/>
      <c r="C1" s="38"/>
      <c r="D1" s="38"/>
      <c r="E1" s="38"/>
      <c r="F1" s="38"/>
    </row>
    <row r="2" spans="1:6" ht="15.75" thickBot="1" x14ac:dyDescent="0.3"/>
    <row r="3" spans="1:6" x14ac:dyDescent="0.25">
      <c r="A3" s="154" t="s">
        <v>148</v>
      </c>
      <c r="B3" s="155" t="s">
        <v>156</v>
      </c>
      <c r="C3" s="156" t="s">
        <v>155</v>
      </c>
      <c r="D3" s="157" t="s">
        <v>147</v>
      </c>
      <c r="E3" s="158" t="s">
        <v>190</v>
      </c>
      <c r="F3" s="158" t="s">
        <v>157</v>
      </c>
    </row>
    <row r="4" spans="1:6" x14ac:dyDescent="0.25">
      <c r="A4" s="159" t="str">
        <f>Parkeeraantallen!A4</f>
        <v>Plaats - locatie/straat/gebied</v>
      </c>
      <c r="B4" s="160">
        <f>Parkeeraantallen!L4*Basisbegroting!G$24</f>
        <v>11302.488073225953</v>
      </c>
      <c r="C4" s="161">
        <f>Basisbegroting!J$24*Parkeeraantallen!L4</f>
        <v>99544.811211498818</v>
      </c>
      <c r="D4" s="162">
        <f>Basisbegroting!J$31*Parkeeraantallen!L4</f>
        <v>38920.506657822698</v>
      </c>
      <c r="E4" s="163">
        <f t="shared" ref="E4:E17" si="0">C4-D4</f>
        <v>60624.30455367612</v>
      </c>
      <c r="F4" s="163">
        <f>Parkeeraantallen!M4*Basisbegroting!G$36</f>
        <v>251999.99999999997</v>
      </c>
    </row>
    <row r="5" spans="1:6" x14ac:dyDescent="0.25">
      <c r="A5" s="159" t="str">
        <f>Parkeeraantallen!A5</f>
        <v>Plaats - locatie/straat/gebied</v>
      </c>
      <c r="B5" s="160">
        <f>Parkeeraantallen!L5*Basisbegroting!G$24</f>
        <v>3115.0759811573976</v>
      </c>
      <c r="C5" s="161">
        <f>Basisbegroting!J$24*Parkeeraantallen!L5</f>
        <v>27435.521138778942</v>
      </c>
      <c r="D5" s="162">
        <f>Basisbegroting!J$31*Parkeeraantallen!L5</f>
        <v>10726.871347156013</v>
      </c>
      <c r="E5" s="163">
        <f t="shared" si="0"/>
        <v>16708.649791622927</v>
      </c>
      <c r="F5" s="163">
        <f>Parkeeraantallen!M5*Basisbegroting!G$36</f>
        <v>75600</v>
      </c>
    </row>
    <row r="6" spans="1:6" x14ac:dyDescent="0.25">
      <c r="A6" s="159" t="str">
        <f>Parkeeraantallen!A6</f>
        <v>Plaats - locatie/straat/gebied</v>
      </c>
      <c r="B6" s="160">
        <f>Parkeeraantallen!L6*Basisbegroting!G$24</f>
        <v>10816.236045685408</v>
      </c>
      <c r="C6" s="161">
        <f>Basisbegroting!J$24*Parkeeraantallen!L6</f>
        <v>95262.226176315773</v>
      </c>
      <c r="D6" s="162">
        <f>Basisbegroting!J$31*Parkeeraantallen!L6</f>
        <v>37246.081066513936</v>
      </c>
      <c r="E6" s="163">
        <f t="shared" si="0"/>
        <v>58016.145109801837</v>
      </c>
      <c r="F6" s="163">
        <f>Parkeeraantallen!M6*Basisbegroting!G$36</f>
        <v>262500</v>
      </c>
    </row>
    <row r="7" spans="1:6" x14ac:dyDescent="0.25">
      <c r="A7" s="159" t="str">
        <f>Parkeeraantallen!A7</f>
        <v>Plaats - locatie/straat/gebied</v>
      </c>
      <c r="B7" s="160">
        <f>Parkeeraantallen!L7*Basisbegroting!G$24</f>
        <v>0</v>
      </c>
      <c r="C7" s="161">
        <f>Basisbegroting!J$24*Parkeeraantallen!L7</f>
        <v>0</v>
      </c>
      <c r="D7" s="162">
        <f>Basisbegroting!J$31*Parkeeraantallen!L7</f>
        <v>0</v>
      </c>
      <c r="E7" s="163">
        <f t="shared" si="0"/>
        <v>0</v>
      </c>
      <c r="F7" s="163">
        <f>Parkeeraantallen!M7*Basisbegroting!G$36</f>
        <v>21000</v>
      </c>
    </row>
    <row r="8" spans="1:6" x14ac:dyDescent="0.25">
      <c r="A8" s="159" t="str">
        <f>Parkeeraantallen!A8</f>
        <v>Plaats - locatie/straat/gebied</v>
      </c>
      <c r="B8" s="160">
        <f>Parkeeraantallen!L8*Basisbegroting!G$24</f>
        <v>0</v>
      </c>
      <c r="C8" s="161">
        <f>Basisbegroting!J$24*Parkeeraantallen!L8</f>
        <v>0</v>
      </c>
      <c r="D8" s="162">
        <f>Basisbegroting!J$31*Parkeeraantallen!L8</f>
        <v>0</v>
      </c>
      <c r="E8" s="163">
        <f t="shared" si="0"/>
        <v>0</v>
      </c>
      <c r="F8" s="163">
        <f>Parkeeraantallen!M8*Basisbegroting!G$36</f>
        <v>0</v>
      </c>
    </row>
    <row r="9" spans="1:6" x14ac:dyDescent="0.25">
      <c r="A9" s="159" t="str">
        <f>Parkeeraantallen!A9</f>
        <v>Plaats - locatie/straat/gebied</v>
      </c>
      <c r="B9" s="160">
        <f>Parkeeraantallen!L9*Basisbegroting!G$24</f>
        <v>0</v>
      </c>
      <c r="C9" s="161">
        <f>Basisbegroting!J$24*Parkeeraantallen!L9</f>
        <v>0</v>
      </c>
      <c r="D9" s="162">
        <f>Basisbegroting!J$31*Parkeeraantallen!L9</f>
        <v>0</v>
      </c>
      <c r="E9" s="163">
        <f t="shared" si="0"/>
        <v>0</v>
      </c>
      <c r="F9" s="163">
        <f>Parkeeraantallen!M9*Basisbegroting!G$36</f>
        <v>0</v>
      </c>
    </row>
    <row r="10" spans="1:6" x14ac:dyDescent="0.25">
      <c r="A10" s="159" t="str">
        <f>Parkeeraantallen!A10</f>
        <v>Plaats - locatie/straat/gebied</v>
      </c>
      <c r="B10" s="160">
        <f>Parkeeraantallen!L10*Basisbegroting!G$24</f>
        <v>272.4032355859697</v>
      </c>
      <c r="C10" s="161">
        <f>Basisbegroting!J$24*Parkeeraantallen!L10</f>
        <v>2399.1468501560871</v>
      </c>
      <c r="D10" s="162">
        <f>Basisbegroting!J$31*Parkeeraantallen!L10</f>
        <v>938.02991655890673</v>
      </c>
      <c r="E10" s="163">
        <f t="shared" si="0"/>
        <v>1461.1169335971804</v>
      </c>
      <c r="F10" s="163">
        <f>Parkeeraantallen!M10*Basisbegroting!G$36</f>
        <v>38640</v>
      </c>
    </row>
    <row r="11" spans="1:6" x14ac:dyDescent="0.25">
      <c r="A11" s="159" t="str">
        <f>Parkeeraantallen!A11</f>
        <v>Plaats - locatie/straat/gebied</v>
      </c>
      <c r="B11" s="160">
        <f>Parkeeraantallen!L11*Basisbegroting!G$24</f>
        <v>390.83942497117386</v>
      </c>
      <c r="C11" s="161">
        <f>Basisbegroting!J$24*Parkeeraantallen!L11</f>
        <v>3442.254176310907</v>
      </c>
      <c r="D11" s="162">
        <f>Basisbegroting!J$31*Parkeeraantallen!L11</f>
        <v>1345.8690107149528</v>
      </c>
      <c r="E11" s="163">
        <f t="shared" si="0"/>
        <v>2096.3851655959543</v>
      </c>
      <c r="F11" s="163">
        <f>Parkeeraantallen!M11*Basisbegroting!G$36</f>
        <v>55440</v>
      </c>
    </row>
    <row r="12" spans="1:6" x14ac:dyDescent="0.25">
      <c r="A12" s="159" t="str">
        <f>Parkeeraantallen!A12</f>
        <v>Plaats - locatie/straat/gebied</v>
      </c>
      <c r="B12" s="160">
        <f>Parkeeraantallen!L12*Basisbegroting!G$24</f>
        <v>2653.5832432081529</v>
      </c>
      <c r="C12" s="161">
        <f>Basisbegroting!J$24*Parkeeraantallen!L12</f>
        <v>23370.999488589467</v>
      </c>
      <c r="D12" s="162">
        <f>Basisbegroting!J$31*Parkeeraantallen!L12</f>
        <v>9137.7052216514185</v>
      </c>
      <c r="E12" s="163">
        <f t="shared" si="0"/>
        <v>14233.294266938048</v>
      </c>
      <c r="F12" s="163">
        <f>Parkeeraantallen!M12*Basisbegroting!G$36</f>
        <v>96600</v>
      </c>
    </row>
    <row r="13" spans="1:6" x14ac:dyDescent="0.25">
      <c r="A13" s="159" t="str">
        <f>Parkeeraantallen!A13</f>
        <v>Plaats - locatie/straat/gebied</v>
      </c>
      <c r="B13" s="160">
        <f>Parkeeraantallen!L13*Basisbegroting!G$24</f>
        <v>349.37399616594456</v>
      </c>
      <c r="C13" s="161">
        <f>Basisbegroting!J$24*Parkeeraantallen!L13</f>
        <v>3077.0542083500227</v>
      </c>
      <c r="D13" s="162">
        <f>Basisbegroting!J$31*Parkeeraantallen!L13</f>
        <v>1203.0813795820873</v>
      </c>
      <c r="E13" s="163">
        <f t="shared" si="0"/>
        <v>1873.9728287679354</v>
      </c>
      <c r="F13" s="163">
        <f>Parkeeraantallen!M13*Basisbegroting!G$36</f>
        <v>78750</v>
      </c>
    </row>
    <row r="14" spans="1:6" x14ac:dyDescent="0.25">
      <c r="A14" s="159">
        <f>Parkeeraantallen!A14</f>
        <v>0</v>
      </c>
      <c r="B14" s="160">
        <f>Parkeeraantallen!L14*Basisbegroting!G$24</f>
        <v>0</v>
      </c>
      <c r="C14" s="161">
        <f>Basisbegroting!J$24*Parkeeraantallen!L14</f>
        <v>0</v>
      </c>
      <c r="D14" s="162">
        <f>Basisbegroting!J$31*Parkeeraantallen!L14</f>
        <v>0</v>
      </c>
      <c r="E14" s="163">
        <f t="shared" si="0"/>
        <v>0</v>
      </c>
      <c r="F14" s="163">
        <f>Parkeeraantallen!M14*Basisbegroting!G$36</f>
        <v>0</v>
      </c>
    </row>
    <row r="15" spans="1:6" x14ac:dyDescent="0.25">
      <c r="A15" s="159">
        <f>Parkeeraantallen!A15</f>
        <v>0</v>
      </c>
      <c r="B15" s="160">
        <f>Parkeeraantallen!L15*Basisbegroting!G$24</f>
        <v>0</v>
      </c>
      <c r="C15" s="161">
        <f>Basisbegroting!J$24*Parkeeraantallen!L15</f>
        <v>0</v>
      </c>
      <c r="D15" s="162">
        <f>Basisbegroting!J$31*Parkeeraantallen!L15</f>
        <v>0</v>
      </c>
      <c r="E15" s="163">
        <f t="shared" si="0"/>
        <v>0</v>
      </c>
      <c r="F15" s="163">
        <f>Parkeeraantallen!M15*Basisbegroting!G$36</f>
        <v>0</v>
      </c>
    </row>
    <row r="16" spans="1:6" x14ac:dyDescent="0.25">
      <c r="A16" s="159">
        <f>Parkeeraantallen!A16</f>
        <v>0</v>
      </c>
      <c r="B16" s="160">
        <f>Parkeeraantallen!L16*Basisbegroting!G$24</f>
        <v>0</v>
      </c>
      <c r="C16" s="161">
        <f>Basisbegroting!J$24*Parkeeraantallen!L16</f>
        <v>0</v>
      </c>
      <c r="D16" s="162">
        <f>Basisbegroting!J$31*Parkeeraantallen!L16</f>
        <v>0</v>
      </c>
      <c r="E16" s="163">
        <f t="shared" si="0"/>
        <v>0</v>
      </c>
      <c r="F16" s="163">
        <f>Parkeeraantallen!M16*Basisbegroting!G$36</f>
        <v>0</v>
      </c>
    </row>
    <row r="17" spans="1:6" x14ac:dyDescent="0.25">
      <c r="A17" s="159">
        <f>Parkeeraantallen!A17</f>
        <v>0</v>
      </c>
      <c r="B17" s="160">
        <f>Parkeeraantallen!L17*Basisbegroting!G$24</f>
        <v>0</v>
      </c>
      <c r="C17" s="161">
        <f>Basisbegroting!J$24*Parkeeraantallen!L17</f>
        <v>0</v>
      </c>
      <c r="D17" s="162">
        <f>Basisbegroting!J$31*Parkeeraantallen!L17</f>
        <v>0</v>
      </c>
      <c r="E17" s="163">
        <f t="shared" si="0"/>
        <v>0</v>
      </c>
      <c r="F17" s="163">
        <f>Parkeeraantallen!M17*Basisbegroting!G$36</f>
        <v>0</v>
      </c>
    </row>
    <row r="18" spans="1:6" x14ac:dyDescent="0.25">
      <c r="A18" s="164"/>
      <c r="B18" s="165">
        <f>SUM(B4:B17)</f>
        <v>28900</v>
      </c>
      <c r="C18" s="166">
        <f>SUM(C4:C17)</f>
        <v>254532.01325000002</v>
      </c>
      <c r="D18" s="167">
        <f>SUM(D4:D17)</f>
        <v>99518.144600000014</v>
      </c>
      <c r="E18" s="168">
        <f>SUM(E4:E17)</f>
        <v>155013.86865000002</v>
      </c>
      <c r="F18" s="168">
        <f>SUM(F4:F17)</f>
        <v>880530</v>
      </c>
    </row>
    <row r="19" spans="1:6" ht="15.75" thickBot="1" x14ac:dyDescent="0.3">
      <c r="A19" s="169"/>
      <c r="B19" s="170"/>
      <c r="C19" s="169"/>
      <c r="D19" s="171"/>
      <c r="E19" s="172"/>
      <c r="F19" s="173"/>
    </row>
  </sheetData>
  <pageMargins left="0.7" right="0.7" top="0.75" bottom="0.75" header="0.3" footer="0.3"/>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20</vt:i4>
      </vt:variant>
    </vt:vector>
  </HeadingPairs>
  <TitlesOfParts>
    <vt:vector size="26" baseType="lpstr">
      <vt:lpstr>Toelichting</vt:lpstr>
      <vt:lpstr>Basiskentallen</vt:lpstr>
      <vt:lpstr>Parkeeraantallen</vt:lpstr>
      <vt:lpstr>Hulptabel</vt:lpstr>
      <vt:lpstr>Basisbegroting</vt:lpstr>
      <vt:lpstr>Kosten&amp;baten per locatie</vt:lpstr>
      <vt:lpstr>Aantal_weesfietsen</vt:lpstr>
      <vt:lpstr>Aantal_weesfietsen_2ekeer</vt:lpstr>
      <vt:lpstr>Basisbegroting!Afdrukbereik</vt:lpstr>
      <vt:lpstr>Basiskentallen!Afdrukbereik</vt:lpstr>
      <vt:lpstr>'Kosten&amp;baten per locatie'!Afdrukbereik</vt:lpstr>
      <vt:lpstr>Parkeeraantallen!Afdrukbereik</vt:lpstr>
      <vt:lpstr>dagenperfout</vt:lpstr>
      <vt:lpstr>dagenperwees</vt:lpstr>
      <vt:lpstr>minuuttoezichtfiets</vt:lpstr>
      <vt:lpstr>prijs_beschikking</vt:lpstr>
      <vt:lpstr>prijs_label</vt:lpstr>
      <vt:lpstr>tieraptijd</vt:lpstr>
      <vt:lpstr>toezverwijderenfout</vt:lpstr>
      <vt:lpstr>Uren_labelen</vt:lpstr>
      <vt:lpstr>Uren_registratie</vt:lpstr>
      <vt:lpstr>Uren_verwijderen</vt:lpstr>
      <vt:lpstr>Uurloon_depotbeheer</vt:lpstr>
      <vt:lpstr>Uurloon_labelen</vt:lpstr>
      <vt:lpstr>Vervoerkosten</vt:lpstr>
      <vt:lpstr>werkdagenjaar</vt:lpstr>
    </vt:vector>
  </TitlesOfParts>
  <Company>Berenschot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Rolf Schooleman</dc:creator>
  <cp:lastModifiedBy>Rolf Schooleman</cp:lastModifiedBy>
  <cp:lastPrinted>2012-09-05T12:56:52Z</cp:lastPrinted>
  <dcterms:created xsi:type="dcterms:W3CDTF">2011-11-25T10:33:24Z</dcterms:created>
  <dcterms:modified xsi:type="dcterms:W3CDTF">2012-09-19T13:01:56Z</dcterms:modified>
</cp:coreProperties>
</file>